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mc:AlternateContent xmlns:mc="http://schemas.openxmlformats.org/markup-compatibility/2006">
    <mc:Choice Requires="x15">
      <x15ac:absPath xmlns:x15ac="http://schemas.microsoft.com/office/spreadsheetml/2010/11/ac" url="C:\Users\bgnm\Documents\BGNM\2021 IECC BGNM program\2024 BGNM Spreadsheets\"/>
    </mc:Choice>
  </mc:AlternateContent>
  <xr:revisionPtr revIDLastSave="0" documentId="8_{1330B6AA-2A40-4AF5-AEF1-C78DA51580CC}" xr6:coauthVersionLast="47" xr6:coauthVersionMax="47" xr10:uidLastSave="{00000000-0000-0000-0000-000000000000}"/>
  <workbookProtection workbookAlgorithmName="SHA-512" workbookHashValue="Jhs5XO8AdKkJL27e7zsbrCB/VZdo369ZvLN4nGtY8pO9AUjJgR32TfrITz+GXX9wweDjjK5CDXga9t/eR/ArHA==" workbookSaltValue="VsCD8C4EC182pe/IahJxYg==" workbookSpinCount="100000" lockStructure="1"/>
  <bookViews>
    <workbookView xWindow="4830" yWindow="45" windowWidth="23880" windowHeight="15555" activeTab="3" xr2:uid="{00000000-000D-0000-FFFF-FFFF00000000}"/>
  </bookViews>
  <sheets>
    <sheet name="1 BGNM Certification Overview" sheetId="21" r:id="rId1"/>
    <sheet name="2 Required Documentation" sheetId="22" r:id="rId2"/>
    <sheet name="3 Project Information" sheetId="2" r:id="rId3"/>
    <sheet name="4 Scoring &amp; Verification" sheetId="23" r:id="rId4"/>
    <sheet name="Duct Leakage Tests Points Logic" sheetId="25" state="hidden" r:id="rId5"/>
    <sheet name="5 HVAC Design &amp; Commissioning R" sheetId="24" r:id="rId6"/>
    <sheet name="6 Indoor Water Testing" sheetId="5" r:id="rId7"/>
    <sheet name="7 WEiR Index" sheetId="4" r:id="rId8"/>
    <sheet name="8 Thermal Enclosure Checklist" sheetId="7" r:id="rId9"/>
    <sheet name="9 NM Climate Zones" sheetId="8" r:id="rId10"/>
    <sheet name="10 IECC Insulation Requirements" sheetId="9" r:id="rId11"/>
    <sheet name="Errata" sheetId="10" r:id="rId12"/>
    <sheet name="Lists (HIDE)" sheetId="15" state="hidden" r:id="rId13"/>
    <sheet name="Indoor_Values_(HIDE)" sheetId="16" state="hidden" r:id="rId14"/>
    <sheet name="OLD 5 HVAC Accountability Form" sheetId="18" state="hidden" r:id="rId15"/>
  </sheets>
  <definedNames>
    <definedName name="ACCA_D1">'Lists (HIDE)'!$A$166:$A$169</definedName>
    <definedName name="ACCA_D2">'Lists (HIDE)'!$D$166:$D$168</definedName>
    <definedName name="BaselineWasherWF">'7 WEiR Index'!$D$18</definedName>
    <definedName name="Bedrooms">'3 Project Information'!$E$14</definedName>
    <definedName name="Benchmark" localSheetId="3">'4 Scoring &amp; Verification'!$J$270</definedName>
    <definedName name="BGNMRequiredWasherWF">'7 WEiR Index'!$E$18</definedName>
    <definedName name="CFA">'3 Project Information'!$E$12</definedName>
    <definedName name="ClimateZones">'Lists (HIDE)'!$C$99:$C$103</definedName>
    <definedName name="Counties">'Lists (HIDE)'!$B$130:$B$162</definedName>
    <definedName name="Counties2">'Lists (HIDE)'!$C$130:$C$162</definedName>
    <definedName name="County">'3 Project Information'!$E$10</definedName>
    <definedName name="CZ">'3 Project Information'!$E$15</definedName>
    <definedName name="CZ3_Emerald" localSheetId="3">'4 Scoring &amp; Verification'!$F$13</definedName>
    <definedName name="CZ3_Gold" localSheetId="3">'4 Scoring &amp; Verification'!$F$12</definedName>
    <definedName name="CZ4_Emerald" localSheetId="3">'4 Scoring &amp; Verification'!$G$13</definedName>
    <definedName name="CZ4_Gold" localSheetId="3">'4 Scoring &amp; Verification'!$G$12</definedName>
    <definedName name="CZ5_Emerald" localSheetId="3">'4 Scoring &amp; Verification'!$H$13</definedName>
    <definedName name="CZ5_Gold" localSheetId="3">'4 Scoring &amp; Verification'!$H$12</definedName>
    <definedName name="CZ6_Emerald" localSheetId="3">'4 Scoring &amp; Verification'!$I$13</definedName>
    <definedName name="CZ6_Gold" localSheetId="3">'4 Scoring &amp; Verification'!$I$12</definedName>
    <definedName name="CZ7_Emerald" localSheetId="3">'4 Scoring &amp; Verification'!$J$13</definedName>
    <definedName name="CZ7_Gold" localSheetId="3">'4 Scoring &amp; Verification'!$J$12</definedName>
    <definedName name="DuctTestCond">'Lists (HIDE)'!$E$99:$E$100</definedName>
    <definedName name="EquipType">'Lists (HIDE)'!$D$130:$D$134</definedName>
    <definedName name="HERS_Claimed_AsBuilt" localSheetId="3">'4 Scoring &amp; Verification'!$M$18</definedName>
    <definedName name="HERS_Verified_AsBuilt" localSheetId="14">#REF!</definedName>
    <definedName name="HERS_Verified_WO" localSheetId="14">#REF!</definedName>
    <definedName name="HERSIndex" localSheetId="3">'4 Scoring &amp; Verification'!$L$14</definedName>
    <definedName name="HourlySeasonal">'Lists (HIDE)'!$B$107:$B$108</definedName>
    <definedName name="HVACDucts">'Lists (HIDE)'!$C$166:$C$168</definedName>
    <definedName name="MailCertTo">'Lists (HIDE)'!$D$99:$D$101</definedName>
    <definedName name="Max_Cert_Verified" localSheetId="14">#REF!</definedName>
    <definedName name="MERVRating">'Lists (HIDE)'!$C$107:$C$126</definedName>
    <definedName name="NatDraftEquipLoc">'Lists (HIDE)'!$E$130:$E$131</definedName>
    <definedName name="NatDraftEquipLoc2">'Lists (HIDE)'!$E$166:$E$168</definedName>
    <definedName name="PA_Daily_Use">'7 WEiR Index'!$Q$21</definedName>
    <definedName name="PermitDate">'3 Project Information'!$E$11</definedName>
    <definedName name="PointList1">'Lists (HIDE)'!$A$3:$A$4</definedName>
    <definedName name="PointList10">'Lists (HIDE)'!$E$9:$E$10</definedName>
    <definedName name="PointList11">'Lists (HIDE)'!$A$15:$A$16</definedName>
    <definedName name="PointList12">'Lists (HIDE)'!$B$15:$B$25</definedName>
    <definedName name="PointList13">'Lists (HIDE)'!$C$15:$C$19</definedName>
    <definedName name="PointList14">'Lists (HIDE)'!$D$15:$D$24</definedName>
    <definedName name="PointList15">'Lists (HIDE)'!$E$15:$E$16</definedName>
    <definedName name="PointList16">'Lists (HIDE)'!$A$29:$A$29</definedName>
    <definedName name="PointList17">'Lists (HIDE)'!$B$29:$B$32</definedName>
    <definedName name="PointList18">'Lists (HIDE)'!$C$29:$C$29</definedName>
    <definedName name="PointList19">'Lists (HIDE)'!$D$29:$D$29</definedName>
    <definedName name="PointList2">'Lists (HIDE)'!$B$3:$B$5</definedName>
    <definedName name="PointList20">'Lists (HIDE)'!$E$29:$E$31</definedName>
    <definedName name="PointList21">'Lists (HIDE)'!$A$36:$A$38</definedName>
    <definedName name="PointList22">'Lists (HIDE)'!$B$36:$B$39</definedName>
    <definedName name="PointList23">'Lists (HIDE)'!$C$36:$C$38</definedName>
    <definedName name="PointList24">'Lists (HIDE)'!$D$36:$D$38</definedName>
    <definedName name="PointList25">'Lists (HIDE)'!$E$36:$E$38</definedName>
    <definedName name="PointList26">'Lists (HIDE)'!$A$43:$A$45</definedName>
    <definedName name="PointList27">'Lists (HIDE)'!$B$43:$B$45</definedName>
    <definedName name="PointList28">'Lists (HIDE)'!$C$43:$C$48</definedName>
    <definedName name="PointList29">'Lists (HIDE)'!$D$43:$D$45</definedName>
    <definedName name="PointList3">'Lists (HIDE)'!$C$3:$C$4</definedName>
    <definedName name="PointList30">'Lists (HIDE)'!$E$43:$E$46</definedName>
    <definedName name="PointList31">'Lists (HIDE)'!$A$52:$A$55</definedName>
    <definedName name="PointList32">'Lists (HIDE)'!$B$52:$B$54</definedName>
    <definedName name="PointList33">'Lists (HIDE)'!$C$52:$C$56</definedName>
    <definedName name="PointList34">'Lists (HIDE)'!$D$52:$D$55</definedName>
    <definedName name="PointList35">'Lists (HIDE)'!$E$52:$E$55</definedName>
    <definedName name="PointList36">'Lists (HIDE)'!$A$60:$A$62</definedName>
    <definedName name="PointList37">'Lists (HIDE)'!$B$60:$B$62</definedName>
    <definedName name="PointList38">'Lists (HIDE)'!$C$60:$C$62</definedName>
    <definedName name="PointList39">'Lists (HIDE)'!$D$60:$D$61</definedName>
    <definedName name="PointList4">'Lists (HIDE)'!$D$3:$D$4</definedName>
    <definedName name="PointList40">'Lists (HIDE)'!$E$60:$E$66</definedName>
    <definedName name="PointList41">'Lists (HIDE)'!$A$70:$A$72</definedName>
    <definedName name="PointList42">'Lists (HIDE)'!$B$70:$B$72</definedName>
    <definedName name="PointList43">'Lists (HIDE)'!$C$70:$C$71</definedName>
    <definedName name="PointList44">'Lists (HIDE)'!$D$70</definedName>
    <definedName name="PointList45">'Lists (HIDE)'!$E$70:$E$71</definedName>
    <definedName name="PointList46">'Lists (HIDE)'!$A$76:$A$77</definedName>
    <definedName name="PointList47">'Lists (HIDE)'!$B$76:$B$79</definedName>
    <definedName name="PointList48">'Lists (HIDE)'!$C$76:$C$78</definedName>
    <definedName name="PointList49">'Lists (HIDE)'!$D$76:$D$78</definedName>
    <definedName name="PointList5">'Lists (HIDE)'!$E$3:$E$4</definedName>
    <definedName name="PointList50">'Lists (HIDE)'!$E$76:$E$76</definedName>
    <definedName name="PointList51">'Lists (HIDE)'!$A$83:$A$85</definedName>
    <definedName name="PointList52">'Lists (HIDE)'!$B$83:$B$86</definedName>
    <definedName name="PointList53">'Lists (HIDE)'!$C$83:$C$85</definedName>
    <definedName name="PointList54">'Lists (HIDE)'!$D$83:$D$85</definedName>
    <definedName name="PointList55">'Lists (HIDE)'!$E$83:$E$85</definedName>
    <definedName name="PointList56">'Lists (HIDE)'!$A$90:$A$95</definedName>
    <definedName name="PointList57">'Lists (HIDE)'!$B$90:$B$92</definedName>
    <definedName name="PointList6">'Lists (HIDE)'!$A$9:$A$11</definedName>
    <definedName name="PointList7">'Lists (HIDE)'!$B$9:$B$10</definedName>
    <definedName name="PointList8">'Lists (HIDE)'!$C$9:$C$10</definedName>
    <definedName name="PointList9">'Lists (HIDE)'!$D$9:$D$11</definedName>
    <definedName name="Prac_1.1.1_Test_Awarded_Overall" localSheetId="3">'4 Scoring &amp; Verification'!#REF!</definedName>
    <definedName name="Prac_1.1.1_Test_Awarded_Overall" localSheetId="14">#REF!</definedName>
    <definedName name="Prac_1.1.1a_Test_Awarded_Level" localSheetId="3">'4 Scoring &amp; Verification'!#REF!</definedName>
    <definedName name="_xlnm.Print_Area" localSheetId="0">'1 BGNM Certification Overview'!$A$1:$I$11</definedName>
    <definedName name="_xlnm.Print_Area" localSheetId="1">'2 Required Documentation'!$A$1:$K$24</definedName>
    <definedName name="_xlnm.Print_Area" localSheetId="2">'3 Project Information'!$A$1:$J$47</definedName>
    <definedName name="_xlnm.Print_Area" localSheetId="3">'4 Scoring &amp; Verification'!$A$28:$S$37</definedName>
    <definedName name="_xlnm.Print_Area" localSheetId="5">'5 HVAC Design &amp; Commissioning R'!$A$1:$E$54</definedName>
    <definedName name="_xlnm.Print_Area" localSheetId="4">'Duct Leakage Tests Points Logic'!$A$1:$L$14</definedName>
    <definedName name="_xlnm.Print_Area" localSheetId="12">'Lists (HIDE)'!$A$1:$E$169</definedName>
    <definedName name="_xlnm.Print_Area" localSheetId="14">'OLD 5 HVAC Accountability Form'!$A$1:$K$47</definedName>
    <definedName name="_xlnm.Print_Titles" localSheetId="1">'2 Required Documentation'!$9:$9</definedName>
    <definedName name="_xlnm.Print_Titles" localSheetId="2">'3 Project Information'!$35:$35</definedName>
    <definedName name="_xlnm.Print_Titles" localSheetId="14">'OLD 5 HVAC Accountability Form'!$6:$6</definedName>
    <definedName name="RaisedHeelDepth">'4 Scoring &amp; Verification'!$J$82</definedName>
    <definedName name="SBTCBroadband">'Lists (HIDE)'!$D$107:$D$108</definedName>
    <definedName name="SBTCEV">'Lists (HIDE)'!$E$107:$E$108</definedName>
    <definedName name="SBTCFullyElectric">'Lists (HIDE)'!$A$130:$A$131</definedName>
    <definedName name="SupDocsList">'Lists (HIDE)'!$A$107:$A$109</definedName>
    <definedName name="VersionNo.">'1 BGNM Certification Overview'!$E$1</definedName>
    <definedName name="WEiR">'7 WEiR Index'!$V$22</definedName>
    <definedName name="YesNoOrNA">'Lists (HIDE)'!$A$99:$A$101</definedName>
    <definedName name="YesOrNo">'Lists (HIDE)'!$B$99:$B$100</definedName>
    <definedName name="YesOrNoOrNA">'Lists (HIDE)'!$B$166:$B$168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61" i="23" l="1"/>
  <c r="M197" i="23" l="1"/>
  <c r="M199" i="23" s="1"/>
  <c r="M166" i="23"/>
  <c r="M262" i="23" s="1"/>
  <c r="O266" i="23" s="1"/>
  <c r="M179" i="23"/>
  <c r="O264" i="23" s="1"/>
  <c r="J184" i="23"/>
  <c r="M183" i="23" s="1"/>
  <c r="M81" i="23"/>
  <c r="J11" i="5"/>
  <c r="M188" i="23"/>
  <c r="M171" i="23"/>
  <c r="L12" i="4"/>
  <c r="K12" i="4"/>
  <c r="Q12" i="4" s="1"/>
  <c r="O12" i="4"/>
  <c r="R12" i="4" s="1"/>
  <c r="L13" i="4"/>
  <c r="K13" i="4"/>
  <c r="K19" i="4" s="1"/>
  <c r="L15" i="4"/>
  <c r="K15" i="4"/>
  <c r="L16" i="4"/>
  <c r="K16" i="4"/>
  <c r="L18" i="4"/>
  <c r="K18" i="4"/>
  <c r="K17" i="4"/>
  <c r="Q17" i="4" s="1"/>
  <c r="O17" i="4"/>
  <c r="M119" i="23"/>
  <c r="E378" i="23"/>
  <c r="E379" i="23"/>
  <c r="I34" i="23"/>
  <c r="I37" i="23"/>
  <c r="M38" i="23"/>
  <c r="O111" i="23" s="1"/>
  <c r="M42" i="23"/>
  <c r="M44" i="23"/>
  <c r="M46" i="23"/>
  <c r="M215" i="23"/>
  <c r="M76" i="23"/>
  <c r="M169" i="23"/>
  <c r="M170" i="23"/>
  <c r="M191" i="23"/>
  <c r="M203" i="23"/>
  <c r="M204" i="23"/>
  <c r="M205" i="23"/>
  <c r="M206" i="23"/>
  <c r="M201" i="23"/>
  <c r="M212" i="23"/>
  <c r="M218" i="23"/>
  <c r="M228" i="23"/>
  <c r="O263" i="23"/>
  <c r="M254" i="23"/>
  <c r="M164" i="23"/>
  <c r="N260" i="23"/>
  <c r="J270" i="23"/>
  <c r="M269" i="23" s="1"/>
  <c r="M314" i="23" s="1"/>
  <c r="D12" i="4"/>
  <c r="N12" i="4"/>
  <c r="D13" i="4"/>
  <c r="O13" i="4" s="1"/>
  <c r="M13" i="4"/>
  <c r="Q13" i="4" s="1"/>
  <c r="N13" i="4"/>
  <c r="D15" i="4"/>
  <c r="O15" i="4" s="1"/>
  <c r="M15" i="4"/>
  <c r="Q15" i="4" s="1"/>
  <c r="N15" i="4"/>
  <c r="D16" i="4"/>
  <c r="M16" i="4"/>
  <c r="D17" i="4"/>
  <c r="N17" i="4"/>
  <c r="D19" i="4"/>
  <c r="O19" i="4" s="1"/>
  <c r="N19" i="4"/>
  <c r="O20" i="4"/>
  <c r="D18" i="4"/>
  <c r="Q20" i="4"/>
  <c r="R20" i="4" s="1"/>
  <c r="M57" i="23"/>
  <c r="E350" i="23"/>
  <c r="E351" i="23"/>
  <c r="E352" i="23"/>
  <c r="F354" i="23"/>
  <c r="F355" i="23"/>
  <c r="F356" i="23"/>
  <c r="G358" i="23"/>
  <c r="G359" i="23"/>
  <c r="G360" i="23"/>
  <c r="H362" i="23"/>
  <c r="H363" i="23"/>
  <c r="H364" i="23"/>
  <c r="I366" i="23"/>
  <c r="I367" i="23"/>
  <c r="I368" i="23"/>
  <c r="M24" i="23"/>
  <c r="O110" i="23" s="1"/>
  <c r="M59" i="23"/>
  <c r="M60" i="23"/>
  <c r="M62" i="23"/>
  <c r="M63" i="23"/>
  <c r="M64" i="23"/>
  <c r="M80" i="23"/>
  <c r="L14" i="25"/>
  <c r="K14" i="25"/>
  <c r="J14" i="25"/>
  <c r="I14" i="25"/>
  <c r="H14" i="25"/>
  <c r="G14" i="25"/>
  <c r="F14" i="25"/>
  <c r="E14" i="25"/>
  <c r="M328" i="23"/>
  <c r="U328" i="23" s="1"/>
  <c r="C1" i="24"/>
  <c r="M118" i="23"/>
  <c r="F1" i="4" s="1"/>
  <c r="M56" i="23"/>
  <c r="R6" i="23"/>
  <c r="G1" i="22"/>
  <c r="L214" i="23"/>
  <c r="E394" i="23"/>
  <c r="E393" i="23"/>
  <c r="E389" i="23"/>
  <c r="E388" i="23"/>
  <c r="E384" i="23"/>
  <c r="E383" i="23"/>
  <c r="E385" i="23" s="1"/>
  <c r="E386" i="23" s="1"/>
  <c r="E374" i="23"/>
  <c r="E373" i="23"/>
  <c r="E401" i="23"/>
  <c r="E402" i="23"/>
  <c r="J344" i="23"/>
  <c r="M333" i="23"/>
  <c r="M332" i="23"/>
  <c r="L322" i="23"/>
  <c r="R5" i="23"/>
  <c r="D5" i="23"/>
  <c r="R4" i="23"/>
  <c r="K4" i="23"/>
  <c r="R3" i="23"/>
  <c r="K3" i="23"/>
  <c r="K2" i="23"/>
  <c r="C6" i="22"/>
  <c r="D6" i="22"/>
  <c r="D7" i="22"/>
  <c r="D8" i="22"/>
  <c r="E1" i="2"/>
  <c r="K1" i="18"/>
  <c r="E5" i="18"/>
  <c r="E4" i="18"/>
  <c r="E3" i="18"/>
  <c r="J5" i="7"/>
  <c r="K9" i="5"/>
  <c r="K8" i="5"/>
  <c r="K7" i="5"/>
  <c r="E19" i="4"/>
  <c r="T18" i="4"/>
  <c r="T17" i="4"/>
  <c r="E17" i="4"/>
  <c r="T16" i="4"/>
  <c r="E16" i="4"/>
  <c r="E15" i="4"/>
  <c r="P15" i="4" s="1"/>
  <c r="T13" i="4"/>
  <c r="E13" i="4"/>
  <c r="T12" i="4"/>
  <c r="E12" i="4"/>
  <c r="P12" i="4" s="1"/>
  <c r="D4" i="7"/>
  <c r="D3" i="7"/>
  <c r="D2" i="7"/>
  <c r="C10" i="5"/>
  <c r="C9" i="5"/>
  <c r="C8" i="5"/>
  <c r="C7" i="5"/>
  <c r="C8" i="4"/>
  <c r="C7" i="4"/>
  <c r="C6" i="4"/>
  <c r="H5" i="10"/>
  <c r="C6" i="7"/>
  <c r="E77" i="5"/>
  <c r="F72" i="5"/>
  <c r="A65" i="5"/>
  <c r="C65" i="5"/>
  <c r="A57" i="5"/>
  <c r="C57" i="5"/>
  <c r="A47" i="5"/>
  <c r="C47" i="5"/>
  <c r="A37" i="5"/>
  <c r="C37" i="5"/>
  <c r="J36" i="5"/>
  <c r="J35" i="5"/>
  <c r="J34" i="5"/>
  <c r="J33" i="5"/>
  <c r="J32" i="5"/>
  <c r="A26" i="5"/>
  <c r="C26" i="5" s="1"/>
  <c r="J24" i="5"/>
  <c r="A18" i="5" s="1"/>
  <c r="J1" i="5"/>
  <c r="C38" i="16"/>
  <c r="C45" i="16" s="1"/>
  <c r="E26" i="16"/>
  <c r="N18" i="4" s="1"/>
  <c r="O18" i="4" s="1"/>
  <c r="S18" i="4" s="1"/>
  <c r="C26" i="16"/>
  <c r="E9" i="16"/>
  <c r="N16" i="4" s="1"/>
  <c r="W22" i="4"/>
  <c r="P20" i="4"/>
  <c r="K20" i="4"/>
  <c r="L19" i="4"/>
  <c r="H6" i="4"/>
  <c r="E1" i="4"/>
  <c r="P17" i="4"/>
  <c r="S20" i="4"/>
  <c r="S17" i="4"/>
  <c r="P13" i="4"/>
  <c r="Q18" i="4" l="1"/>
  <c r="R13" i="4"/>
  <c r="S13" i="4"/>
  <c r="Q16" i="4"/>
  <c r="Q21" i="4" s="1"/>
  <c r="P16" i="4"/>
  <c r="P21" i="4" s="1"/>
  <c r="S15" i="4"/>
  <c r="R15" i="4"/>
  <c r="R19" i="4"/>
  <c r="S19" i="4"/>
  <c r="O16" i="4"/>
  <c r="R17" i="4"/>
  <c r="P19" i="4"/>
  <c r="Q19" i="4"/>
  <c r="P18" i="4"/>
  <c r="M139" i="23"/>
  <c r="M158" i="23" s="1"/>
  <c r="O160" i="23" s="1"/>
  <c r="L156" i="23" s="1"/>
  <c r="T15" i="4"/>
  <c r="R18" i="4"/>
  <c r="O21" i="4"/>
  <c r="V22" i="4" s="1"/>
  <c r="K121" i="23" s="1"/>
  <c r="O159" i="23" s="1"/>
  <c r="M121" i="23"/>
  <c r="S12" i="4"/>
  <c r="E395" i="23"/>
  <c r="E396" i="23" s="1"/>
  <c r="E380" i="23"/>
  <c r="E381" i="23" s="1"/>
  <c r="M19" i="23" s="1"/>
  <c r="D348" i="23"/>
  <c r="H348" i="23" s="1"/>
  <c r="L15" i="23" s="1"/>
  <c r="O109" i="23" s="1"/>
  <c r="E375" i="23"/>
  <c r="E376" i="23" s="1"/>
  <c r="E390" i="23"/>
  <c r="E391" i="23" s="1"/>
  <c r="O265" i="23"/>
  <c r="L260" i="23" s="1"/>
  <c r="M327" i="23" s="1"/>
  <c r="U327" i="23" s="1"/>
  <c r="M29" i="23"/>
  <c r="U18" i="4" l="1"/>
  <c r="U15" i="4"/>
  <c r="U13" i="4"/>
  <c r="U20" i="4"/>
  <c r="U12" i="4"/>
  <c r="U17" i="4"/>
  <c r="U19" i="4"/>
  <c r="R16" i="4"/>
  <c r="R21" i="4" s="1"/>
  <c r="S16" i="4"/>
  <c r="U16" i="4"/>
  <c r="O112" i="23"/>
  <c r="O114" i="23"/>
  <c r="M36" i="23"/>
  <c r="M108" i="23" s="1"/>
  <c r="O113" i="23" s="1"/>
  <c r="N156" i="23"/>
  <c r="M326" i="23"/>
  <c r="U326" i="23" s="1"/>
  <c r="W25" i="4" l="1"/>
  <c r="F25" i="4"/>
  <c r="M322" i="23"/>
  <c r="M329" i="23" s="1"/>
  <c r="U329" i="23" s="1"/>
  <c r="L106" i="23"/>
  <c r="N106" i="23" s="1"/>
  <c r="M325" i="23" l="1"/>
  <c r="U325" i="23" s="1"/>
  <c r="V325" i="23" s="1"/>
  <c r="L320" i="2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Steve Vollstedt</author>
  </authors>
  <commentList>
    <comment ref="L158" authorId="0" shapeId="0" xr:uid="{00000000-0006-0000-0300-000001000000}">
      <text>
        <r>
          <rPr>
            <b/>
            <sz val="9"/>
            <color indexed="81"/>
            <rFont val="Tahoma"/>
            <family val="2"/>
          </rPr>
          <t>Steve Vollstedt:</t>
        </r>
        <r>
          <rPr>
            <sz val="9"/>
            <color indexed="81"/>
            <rFont val="Tahoma"/>
            <family val="2"/>
          </rPr>
          <t xml:space="preserve">
Assumed 25 points for WEiR Index of 50 for practice 2.1.1 (75 less 50).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Steve Vollstedt</author>
  </authors>
  <commentList>
    <comment ref="L19" authorId="0" shapeId="0" xr:uid="{00000000-0006-0000-0700-000001000000}">
      <text>
        <r>
          <rPr>
            <b/>
            <sz val="9"/>
            <color indexed="81"/>
            <rFont val="Tahoma"/>
            <family val="2"/>
          </rPr>
          <t>Steve Vollstedt:</t>
        </r>
        <r>
          <rPr>
            <sz val="9"/>
            <color indexed="81"/>
            <rFont val="Tahoma"/>
            <family val="2"/>
          </rPr>
          <t xml:space="preserve">
Per Steve Hale, change to 'bedrooms' from 'bedrooms + 1'.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Steve Vollstedt</author>
  </authors>
  <commentList>
    <comment ref="C39" authorId="0" shapeId="0" xr:uid="{00000000-0006-0000-0D00-000001000000}">
      <text>
        <r>
          <rPr>
            <b/>
            <sz val="9"/>
            <color indexed="81"/>
            <rFont val="Tahoma"/>
            <family val="2"/>
          </rPr>
          <t>Steve Vollstedt:</t>
        </r>
        <r>
          <rPr>
            <sz val="9"/>
            <color indexed="81"/>
            <rFont val="Tahoma"/>
            <family val="2"/>
          </rPr>
          <t xml:space="preserve">
Use 8% per Jan 27, 2015 phone conversation with Steve Hale.
</t>
        </r>
      </text>
    </comment>
  </commentList>
</comments>
</file>

<file path=xl/sharedStrings.xml><?xml version="1.0" encoding="utf-8"?>
<sst xmlns="http://schemas.openxmlformats.org/spreadsheetml/2006/main" count="2038" uniqueCount="1399">
  <si>
    <t>Gold Level</t>
  </si>
  <si>
    <t>Emerald Level</t>
  </si>
  <si>
    <t>Water</t>
  </si>
  <si>
    <t>IAQ</t>
  </si>
  <si>
    <t>CZ 3</t>
  </si>
  <si>
    <t>CZ 4</t>
  </si>
  <si>
    <t>CZ 5</t>
  </si>
  <si>
    <t>CZ 6</t>
  </si>
  <si>
    <t>CZ 7</t>
  </si>
  <si>
    <t>PointList1</t>
  </si>
  <si>
    <t>PointList2</t>
  </si>
  <si>
    <t>PointList3</t>
  </si>
  <si>
    <t>PointList4</t>
  </si>
  <si>
    <t>PointList5</t>
  </si>
  <si>
    <t>PointList6</t>
  </si>
  <si>
    <t>PointList7</t>
  </si>
  <si>
    <t>Not Met</t>
  </si>
  <si>
    <t>Will Be Done</t>
  </si>
  <si>
    <t>Not Applicable</t>
  </si>
  <si>
    <t>PointList8</t>
  </si>
  <si>
    <t>PointList9</t>
  </si>
  <si>
    <t>PointList10</t>
  </si>
  <si>
    <t>PointList11</t>
  </si>
  <si>
    <t>PointList12</t>
  </si>
  <si>
    <t>PointList13</t>
  </si>
  <si>
    <t>PointList14</t>
  </si>
  <si>
    <t>Accountability Form Verified</t>
  </si>
  <si>
    <t>PointList15</t>
  </si>
  <si>
    <t>PointList16</t>
  </si>
  <si>
    <t>PointList17</t>
  </si>
  <si>
    <t>PointList18</t>
  </si>
  <si>
    <t>PointList19</t>
  </si>
  <si>
    <t>PointList20</t>
  </si>
  <si>
    <t>PointList21</t>
  </si>
  <si>
    <t>0.5 - Builder-Certified</t>
  </si>
  <si>
    <t>Will Obtain</t>
  </si>
  <si>
    <t>Verifier Will Provide</t>
  </si>
  <si>
    <t>PointList22</t>
  </si>
  <si>
    <t>PointList23</t>
  </si>
  <si>
    <t>PointList24</t>
  </si>
  <si>
    <t>PointList25</t>
  </si>
  <si>
    <t>PointList26</t>
  </si>
  <si>
    <t>PointList27</t>
  </si>
  <si>
    <t>PointList28</t>
  </si>
  <si>
    <t>N40, N41</t>
  </si>
  <si>
    <t>PointList29</t>
  </si>
  <si>
    <t>PointList30</t>
  </si>
  <si>
    <t>PointList31</t>
  </si>
  <si>
    <t>PointList32</t>
  </si>
  <si>
    <t>PointList33</t>
  </si>
  <si>
    <t>PointList34</t>
  </si>
  <si>
    <t>PointList35</t>
  </si>
  <si>
    <t>None</t>
  </si>
  <si>
    <t>Yes</t>
  </si>
  <si>
    <t>Constantly On</t>
  </si>
  <si>
    <t>No</t>
  </si>
  <si>
    <t>Controlled by Timer</t>
  </si>
  <si>
    <t>Controlled by "Smart' Controller</t>
  </si>
  <si>
    <t>Not Known</t>
  </si>
  <si>
    <t>Demand-Controlled</t>
  </si>
  <si>
    <t>PointList36</t>
  </si>
  <si>
    <t>No Landscapable Area</t>
  </si>
  <si>
    <t>YesNoOrNA</t>
  </si>
  <si>
    <t>YesOrNo</t>
  </si>
  <si>
    <t>ClimateZones</t>
  </si>
  <si>
    <t>MailCertTo</t>
  </si>
  <si>
    <t>Builder</t>
  </si>
  <si>
    <t>Homeowner</t>
  </si>
  <si>
    <t>Other</t>
  </si>
  <si>
    <t>BGNM Certification
Project Information</t>
  </si>
  <si>
    <t>Basic Project Data</t>
  </si>
  <si>
    <t>Builder Information</t>
  </si>
  <si>
    <t xml:space="preserve">Complete Mailing Address </t>
  </si>
  <si>
    <t>Phone Number</t>
  </si>
  <si>
    <t>Email Address</t>
  </si>
  <si>
    <t>Mailing Address for Final BGNM Certificate</t>
  </si>
  <si>
    <t>To Attention of</t>
  </si>
  <si>
    <t>Street Address 1</t>
  </si>
  <si>
    <t>Street Address 2</t>
  </si>
  <si>
    <t>City, State &amp; Postal Zip Code</t>
  </si>
  <si>
    <t>Important Information about the Tabs in this Workbook</t>
  </si>
  <si>
    <t>General overview of the certification program and requirements for each certification level.</t>
  </si>
  <si>
    <t>This is the main tab for 'Points Claimed' scoring by the builder and 'Points Awarded' scoring by the HERS Rater/Green Verifier.</t>
  </si>
  <si>
    <t>The Indoor Water Testing sheet is to document manufacturer's specifications of water fixtures and appliances, field verification of flow rates, water waste while waiting for hot water, etc.</t>
  </si>
  <si>
    <t>Errata</t>
  </si>
  <si>
    <t>This tab summarizes corrections and changes to this workbook from version to version.</t>
  </si>
  <si>
    <t>Practice #</t>
  </si>
  <si>
    <t>Building Practice</t>
  </si>
  <si>
    <t>Points Available</t>
  </si>
  <si>
    <t>Points Claimed</t>
  </si>
  <si>
    <t>Notes About How Practice Is Satisfied</t>
  </si>
  <si>
    <t>Project Address:</t>
  </si>
  <si>
    <t>Significant Attributes of Project</t>
  </si>
  <si>
    <t>Climate Zone</t>
  </si>
  <si>
    <t>Conditioned Floor Area</t>
  </si>
  <si>
    <t>Number of Bedrooms</t>
  </si>
  <si>
    <t>1 -- ENERGY EFFICIENCY</t>
  </si>
  <si>
    <t>1.1 - HERS Index</t>
  </si>
  <si>
    <t>Gold</t>
  </si>
  <si>
    <t>Emerald</t>
  </si>
  <si>
    <t>1.1.1(a)</t>
  </si>
  <si>
    <t>1.1.1(b)</t>
  </si>
  <si>
    <t>Certification Level</t>
  </si>
  <si>
    <r>
      <t xml:space="preserve">Points Earned
</t>
    </r>
    <r>
      <rPr>
        <b/>
        <sz val="11"/>
        <color theme="1"/>
        <rFont val="Calibri"/>
        <family val="2"/>
      </rPr>
      <t>→</t>
    </r>
  </si>
  <si>
    <t>1.2.1</t>
  </si>
  <si>
    <r>
      <t>Equipment sizing.</t>
    </r>
    <r>
      <rPr>
        <sz val="11"/>
        <color theme="1"/>
        <rFont val="Calibri"/>
        <family val="2"/>
        <scheme val="minor"/>
      </rPr>
      <t xml:space="preserve">  Space heating and space cooling systems shall be sized in accordance with ACCA Manual S based on building loads calculated in accordance with ACCA Manual J, or other approved heating and cooling equipment sizing methodologies.</t>
    </r>
  </si>
  <si>
    <t>Mandatory</t>
  </si>
  <si>
    <t>1.2.2</t>
  </si>
  <si>
    <r>
      <t>Heating and cooling distribution systems.</t>
    </r>
    <r>
      <rPr>
        <sz val="11"/>
        <color theme="1"/>
        <rFont val="Calibri"/>
        <family val="2"/>
        <scheme val="minor"/>
      </rPr>
      <t xml:space="preserve">  Space heating and cooling distribution systems shall be designed and installed following the practices below, if applicable:
  </t>
    </r>
  </si>
  <si>
    <t xml:space="preserve">(a)  Heating and cooling distribution systems using ducting shall be sized and designed in accordance with ACCA Manual D, or equivalent.  Heating and cooling distribution systems not requiring ducting shall be designed following appropriate industry guidelines and practices.  </t>
  </si>
  <si>
    <t>(b)  All forced air space heating and space cooling duct distribution systems shall be air-sealed.  All duct sealing materials shall be in conformance with UL181A or UL181B specifications and shall be installed in accordance with manufacturer's instructions.</t>
  </si>
  <si>
    <r>
      <t>HVAC system performance testing.</t>
    </r>
    <r>
      <rPr>
        <sz val="11"/>
        <color theme="1"/>
        <rFont val="Calibri"/>
        <family val="2"/>
        <scheme val="minor"/>
      </rPr>
      <t xml:space="preserve">  Performance of the heating and cooling systems is verified by the HVAC contractor in accordance with all of the following, if applicable, and the Accountability Form for HVAC System Performance Testing is provided to the verifier:</t>
    </r>
  </si>
  <si>
    <t>1.3.1</t>
  </si>
  <si>
    <t>1.4.1</t>
  </si>
  <si>
    <t>Zero or 2</t>
  </si>
  <si>
    <t>No Points</t>
  </si>
  <si>
    <t>2 Points</t>
  </si>
  <si>
    <t>1.5.1</t>
  </si>
  <si>
    <t>Maximum of 2</t>
  </si>
  <si>
    <t>1.5.2</t>
  </si>
  <si>
    <r>
      <t xml:space="preserve">Passive cooling design, </t>
    </r>
    <r>
      <rPr>
        <sz val="11"/>
        <color theme="1"/>
        <rFont val="Calibri"/>
        <family val="2"/>
        <scheme val="minor"/>
      </rPr>
      <t>including at least 3 of the following practices:</t>
    </r>
  </si>
  <si>
    <t>(a)  At least 75% shading of east and west facing windows using physical structures or vegetation</t>
  </si>
  <si>
    <t>(b)  South-facing glass shall be shaded in accordance with the following table that shows the required south-facing window overhang depth:</t>
  </si>
  <si>
    <r>
      <rPr>
        <b/>
        <sz val="11"/>
        <color theme="1"/>
        <rFont val="Calibri"/>
        <family val="2"/>
      </rPr>
      <t>≤</t>
    </r>
    <r>
      <rPr>
        <b/>
        <sz val="11"/>
        <color theme="1"/>
        <rFont val="Calibri"/>
        <family val="2"/>
        <scheme val="minor"/>
      </rPr>
      <t xml:space="preserve"> 7'-4"</t>
    </r>
  </si>
  <si>
    <r>
      <rPr>
        <b/>
        <sz val="11"/>
        <color theme="1"/>
        <rFont val="Calibri"/>
        <family val="2"/>
      </rPr>
      <t>≤</t>
    </r>
    <r>
      <rPr>
        <b/>
        <sz val="11"/>
        <color theme="1"/>
        <rFont val="Calibri"/>
        <family val="2"/>
        <scheme val="minor"/>
      </rPr>
      <t xml:space="preserve"> 6'-4"</t>
    </r>
  </si>
  <si>
    <r>
      <rPr>
        <b/>
        <sz val="11"/>
        <color theme="1"/>
        <rFont val="Calibri"/>
        <family val="2"/>
      </rPr>
      <t>≤</t>
    </r>
    <r>
      <rPr>
        <b/>
        <sz val="11"/>
        <color theme="1"/>
        <rFont val="Calibri"/>
        <family val="2"/>
        <scheme val="minor"/>
      </rPr>
      <t xml:space="preserve"> 5'-4"</t>
    </r>
  </si>
  <si>
    <r>
      <rPr>
        <b/>
        <sz val="11"/>
        <color theme="1"/>
        <rFont val="Calibri"/>
        <family val="2"/>
      </rPr>
      <t>≤</t>
    </r>
    <r>
      <rPr>
        <b/>
        <sz val="11"/>
        <color theme="1"/>
        <rFont val="Calibri"/>
        <family val="2"/>
        <scheme val="minor"/>
      </rPr>
      <t xml:space="preserve"> 4'-4"</t>
    </r>
  </si>
  <si>
    <r>
      <rPr>
        <b/>
        <sz val="11"/>
        <color theme="1"/>
        <rFont val="Calibri"/>
        <family val="2"/>
      </rPr>
      <t>≤</t>
    </r>
    <r>
      <rPr>
        <b/>
        <sz val="11"/>
        <color theme="1"/>
        <rFont val="Calibri"/>
        <family val="2"/>
        <scheme val="minor"/>
      </rPr>
      <t xml:space="preserve"> 3'-4"</t>
    </r>
  </si>
  <si>
    <t>Climate Zone 3 Overhang Depth</t>
  </si>
  <si>
    <t>2'-8"</t>
  </si>
  <si>
    <t>2'-4"</t>
  </si>
  <si>
    <t>2'-0"</t>
  </si>
  <si>
    <t>Climate Zones 4, 5 &amp; 6 Overhang Depth</t>
  </si>
  <si>
    <t>1'-8"</t>
  </si>
  <si>
    <t>Climate Zone 7 Overhang Depth</t>
  </si>
  <si>
    <t>1'-4"</t>
  </si>
  <si>
    <t>1'-0"</t>
  </si>
  <si>
    <t>(c)  Cross-ventilation is provided using appropriately placed windows and/or skylights</t>
  </si>
  <si>
    <t>(a)</t>
  </si>
  <si>
    <t>(b)</t>
  </si>
  <si>
    <t>(c)</t>
  </si>
  <si>
    <t>(e)</t>
  </si>
  <si>
    <t>2 -- WATER EFFICIENCY</t>
  </si>
  <si>
    <t>2.1 - Indoor Water Use Efficiency Practices</t>
  </si>
  <si>
    <t>2.1.1</t>
  </si>
  <si>
    <t>WEiR Index from WEiR Index spreadsheet</t>
  </si>
  <si>
    <t>See details &amp; specifications on WEiR Index sheet</t>
  </si>
  <si>
    <t>2.1.2</t>
  </si>
  <si>
    <t xml:space="preserve">Domestic hot water distribution systems with circulation pumps.  </t>
  </si>
  <si>
    <t>2.2 - Outdoor Water Use Efficiency Practices</t>
  </si>
  <si>
    <t>2.2.1</t>
  </si>
  <si>
    <t>(c)  Native landscaping requiring no irrigation after being established is used for the entire landscape.  Points cannot be awarded for this practice if points awarded for either of 2.2.1(a) or 2.2.1(b).</t>
  </si>
  <si>
    <t>2.2.2</t>
  </si>
  <si>
    <r>
      <rPr>
        <b/>
        <sz val="11"/>
        <color theme="1"/>
        <rFont val="Calibri"/>
        <family val="2"/>
        <scheme val="minor"/>
      </rPr>
      <t>Irrigation System.</t>
    </r>
    <r>
      <rPr>
        <sz val="11"/>
        <color theme="1"/>
        <rFont val="Calibri"/>
        <family val="2"/>
        <scheme val="minor"/>
      </rPr>
      <t xml:space="preserve">  Points may be awarded for the following landscape irrigation practices:
</t>
    </r>
  </si>
  <si>
    <t>1.5, Max 3</t>
  </si>
  <si>
    <t>2.3 - Water Capture and Re-use</t>
  </si>
  <si>
    <t>2.3.1</t>
  </si>
  <si>
    <t>Rainwater is diverted or captured for beneficial use on the property.</t>
  </si>
  <si>
    <t xml:space="preserve">Provide photos of water storage tanks showing sizes.  Provide photos of rainwater diversion to planted swales.  </t>
  </si>
  <si>
    <t>(a)  Rainwater is captured in storage tank for reuse at .5 point per 200 gallons storage up to 5 points</t>
  </si>
  <si>
    <t>0 - 5.0</t>
  </si>
  <si>
    <t>(b)  Rainwater is diverted by gravity to planted swales for direct use (.5 point per 25% of remaining covered roof area not used for rainwater storage capture )</t>
  </si>
  <si>
    <t>0 - 2.0</t>
  </si>
  <si>
    <t>2.3.2</t>
  </si>
  <si>
    <r>
      <rPr>
        <b/>
        <sz val="11"/>
        <color theme="1"/>
        <rFont val="Calibri"/>
        <family val="2"/>
        <scheme val="minor"/>
      </rPr>
      <t>Greywater (or other waste water) from indoor use is diverted or captured</t>
    </r>
    <r>
      <rPr>
        <sz val="11"/>
        <color theme="1"/>
        <rFont val="Calibri"/>
        <family val="2"/>
        <scheme val="minor"/>
      </rPr>
      <t xml:space="preserve"> for reuse in a safe and approved manner.  These points are automatically calculated from information entered on the '4 WEiR Index' sheet.</t>
    </r>
  </si>
  <si>
    <t>These points are automatically calculated based on information input on '4 WEiR Index' sheet.  Provide photos showing grey water line and valves to divert to black water line.</t>
  </si>
  <si>
    <t>2.4 - Other Water Efficiency Practices</t>
  </si>
  <si>
    <t>2.4.1</t>
  </si>
  <si>
    <r>
      <t xml:space="preserve">(a)  Excess water flow automatic shutoff </t>
    </r>
    <r>
      <rPr>
        <b/>
        <sz val="11"/>
        <color theme="1"/>
        <rFont val="Calibri"/>
        <family val="2"/>
        <scheme val="minor"/>
      </rPr>
      <t>OR</t>
    </r>
  </si>
  <si>
    <t>(b)  Leak detection system with automatic shutoff</t>
  </si>
  <si>
    <t>2.4.2</t>
  </si>
  <si>
    <t>2.4.3</t>
  </si>
  <si>
    <t>2.4.4</t>
  </si>
  <si>
    <t>2.4.5</t>
  </si>
  <si>
    <t>2.4.6</t>
  </si>
  <si>
    <t>2.4.7</t>
  </si>
  <si>
    <t>2.4.8</t>
  </si>
  <si>
    <t>0 - 1.0</t>
  </si>
  <si>
    <t>2.4.9</t>
  </si>
  <si>
    <t>2.4.10</t>
  </si>
  <si>
    <t>(d)</t>
  </si>
  <si>
    <t>3 -- INDOOR AIR QUALITY</t>
  </si>
  <si>
    <r>
      <t xml:space="preserve">3.1 - Spot Ventilation    </t>
    </r>
    <r>
      <rPr>
        <b/>
        <sz val="9"/>
        <color theme="0"/>
        <rFont val="Calibri"/>
        <family val="2"/>
        <scheme val="minor"/>
      </rPr>
      <t xml:space="preserve">(Minimize potential for mold or other irritants resulting from condensation or water intrusion)
</t>
    </r>
  </si>
  <si>
    <t>3.1.1</t>
  </si>
  <si>
    <r>
      <rPr>
        <b/>
        <sz val="11"/>
        <color theme="1"/>
        <rFont val="Calibri"/>
        <family val="2"/>
        <scheme val="minor"/>
      </rPr>
      <t>Spot ventilation</t>
    </r>
    <r>
      <rPr>
        <sz val="11"/>
        <color theme="1"/>
        <rFont val="Calibri"/>
        <family val="2"/>
        <scheme val="minor"/>
      </rPr>
      <t xml:space="preserve"> is provided as described below:</t>
    </r>
  </si>
  <si>
    <r>
      <rPr>
        <b/>
        <sz val="11"/>
        <color theme="1"/>
        <rFont val="Calibri"/>
        <family val="2"/>
        <scheme val="minor"/>
      </rPr>
      <t>Mandatory</t>
    </r>
    <r>
      <rPr>
        <sz val="11"/>
        <color theme="1"/>
        <rFont val="Calibri"/>
        <family val="2"/>
        <scheme val="minor"/>
      </rPr>
      <t xml:space="preserve">
1 Point if CFM Verified</t>
    </r>
  </si>
  <si>
    <r>
      <t xml:space="preserve">(d)  Humidistat, timer, motion sensor or part of whole-house ventilation in master </t>
    </r>
    <r>
      <rPr>
        <b/>
        <sz val="11"/>
        <color theme="1"/>
        <rFont val="Calibri"/>
        <family val="2"/>
        <scheme val="minor"/>
      </rPr>
      <t>AND</t>
    </r>
    <r>
      <rPr>
        <sz val="11"/>
        <color theme="1"/>
        <rFont val="Calibri"/>
        <family val="2"/>
        <scheme val="minor"/>
      </rPr>
      <t xml:space="preserve"> 1 other bath minimum</t>
    </r>
  </si>
  <si>
    <t>(e)  Exhaust fans are Energy Star rated (1 point per fan max 2 pts)</t>
  </si>
  <si>
    <t>(f)  Exhaust fans are Energy Star rated and operate at 1 sone or less (1 point per 2 fans with 2 pts max)</t>
  </si>
  <si>
    <t>3.2 - Whole building ventilation systems</t>
  </si>
  <si>
    <t>3.2.1</t>
  </si>
  <si>
    <r>
      <t xml:space="preserve">Tested Whole Building Ventilation in CFM </t>
    </r>
    <r>
      <rPr>
        <sz val="11"/>
        <color theme="1"/>
        <rFont val="Calibri"/>
        <family val="2"/>
      </rPr>
      <t>↓</t>
    </r>
  </si>
  <si>
    <t>3.3 - Space Heating and Water Heating Options</t>
  </si>
  <si>
    <t>3.3.1</t>
  </si>
  <si>
    <t>3.3.2</t>
  </si>
  <si>
    <t>3.3.3</t>
  </si>
  <si>
    <t>3.3.4</t>
  </si>
  <si>
    <t>3.3.5</t>
  </si>
  <si>
    <t>3.3.6</t>
  </si>
  <si>
    <t>3.4 - Solid fuel-burning appliances</t>
  </si>
  <si>
    <t>3.4.1</t>
  </si>
  <si>
    <t>3.4.2</t>
  </si>
  <si>
    <t>3.4.3</t>
  </si>
  <si>
    <r>
      <rPr>
        <b/>
        <sz val="11"/>
        <color theme="1"/>
        <rFont val="Calibri"/>
        <family val="2"/>
        <scheme val="minor"/>
      </rPr>
      <t>Site built masonry wood burning fireplaces</t>
    </r>
    <r>
      <rPr>
        <sz val="11"/>
        <color theme="1"/>
        <rFont val="Calibri"/>
        <family val="2"/>
        <scheme val="minor"/>
      </rPr>
      <t xml:space="preserve"> are equipped with outside combustion air and a means of sealing the flue and the combustion air outlets to minimize interior air (heat) loss when not in operation.</t>
    </r>
  </si>
  <si>
    <t>3.4.4</t>
  </si>
  <si>
    <t>3.4.5</t>
  </si>
  <si>
    <t>3.5 - Garages</t>
  </si>
  <si>
    <t>3.5.1</t>
  </si>
  <si>
    <t>3.5.2</t>
  </si>
  <si>
    <t>A carport is installed, the garage is detached from the building or no garage is installed.</t>
  </si>
  <si>
    <t>3.6 - Carbon Monoxide and Radon Gas</t>
  </si>
  <si>
    <t>3.6.1</t>
  </si>
  <si>
    <r>
      <rPr>
        <b/>
        <sz val="11"/>
        <color theme="1"/>
        <rFont val="Calibri"/>
        <family val="2"/>
        <scheme val="minor"/>
      </rPr>
      <t>CO alarm</t>
    </r>
    <r>
      <rPr>
        <sz val="11"/>
        <color theme="1"/>
        <rFont val="Calibri"/>
        <family val="2"/>
        <scheme val="minor"/>
      </rPr>
      <t xml:space="preserve"> is installed per IRC 3.15</t>
    </r>
  </si>
  <si>
    <t>3.6.2</t>
  </si>
  <si>
    <t>3.6.3</t>
  </si>
  <si>
    <t>3.6.4</t>
  </si>
  <si>
    <t>3.7 - Materials</t>
  </si>
  <si>
    <t>3.7.1</t>
  </si>
  <si>
    <t>3.7.2</t>
  </si>
  <si>
    <t>Builder must have documentation available for verifier if claiming points for these practices</t>
  </si>
  <si>
    <t>(a)  Counter tops</t>
  </si>
  <si>
    <t>(b)  Composite trim</t>
  </si>
  <si>
    <t>(c)  Custom wood work</t>
  </si>
  <si>
    <t>(d)  Shelving</t>
  </si>
  <si>
    <t>3.7.3</t>
  </si>
  <si>
    <t>(a)  All parts of the cabinet are made of solid wood or non-formaldehyde emitting materials such as metal or glass.</t>
  </si>
  <si>
    <t>3.7.4</t>
  </si>
  <si>
    <r>
      <rPr>
        <b/>
        <sz val="11"/>
        <color theme="1"/>
        <rFont val="Calibri"/>
        <family val="2"/>
        <scheme val="minor"/>
      </rPr>
      <t>Carpets.</t>
    </r>
    <r>
      <rPr>
        <sz val="11"/>
        <color theme="1"/>
        <rFont val="Calibri"/>
        <family val="2"/>
        <scheme val="minor"/>
      </rPr>
      <t xml:space="preserve">  Carpets are in accordance with the following:</t>
    </r>
  </si>
  <si>
    <t xml:space="preserve">(b)  Carpets are third-party program certified to ISO Guide 65 (i.e. CRI Green Label Plus).  Builder must provide verifier documentation support. </t>
  </si>
  <si>
    <t>3.7.5</t>
  </si>
  <si>
    <t>(a)  Hard surface flooring meeting these requirements covers 20% to 50% of conditioned floor area, or</t>
  </si>
  <si>
    <t>(b)  Hard surface flooring meeting these requirements covers more than 50% of conditioned floor area.</t>
  </si>
  <si>
    <t>3.7.6</t>
  </si>
  <si>
    <t>(a)  GreenSeal GS-11 certified - any interior architectural coating</t>
  </si>
  <si>
    <t>(b)  Zero VOC as determined by EPA Method 24 - any interior architectural coating</t>
  </si>
  <si>
    <t>(c)  Flat paint - 50 grams/liter</t>
  </si>
  <si>
    <t>(d)  Non-flat paint - 100 grams/liter</t>
  </si>
  <si>
    <t>(e)  Non-flat high-gloss paint - 150 grams/liter</t>
  </si>
  <si>
    <t>(f)  Faux finish coatings - 350 grams/liter</t>
  </si>
  <si>
    <t>(g)  Fire resistive coatings - 350 grams/liter</t>
  </si>
  <si>
    <t>(h)  Floor coatings - 100 grams/liter</t>
  </si>
  <si>
    <t>(i)  Primers, sealers and undercoatings - 100 grams/liter</t>
  </si>
  <si>
    <t>(j)  Rust preventative coatings - 250 grams/liter</t>
  </si>
  <si>
    <t>(k)  Concrete or masonry sealers - 100 grams/liter</t>
  </si>
  <si>
    <t>(l)  Shellacs, clear - 730 grams/liter</t>
  </si>
  <si>
    <t>(m)  Stains - 250 grams/liter</t>
  </si>
  <si>
    <t>(n)  Waterproofing membranes - 250 grams/liter</t>
  </si>
  <si>
    <t>(o)  Wood coatings - 275 grams/liter</t>
  </si>
  <si>
    <t>3.7.7</t>
  </si>
  <si>
    <t>(a)  Indoor carpet pad &amp; carpet adhesives or sealants - 50 grams/liter</t>
  </si>
  <si>
    <t>(b)  Wood flooring adhesives - 100 grams/liter</t>
  </si>
  <si>
    <t>(c)  Subfloor adhesives - 50 grams/liter</t>
  </si>
  <si>
    <t>(d)  Ceramic tile adhesives - 65 grams/liter</t>
  </si>
  <si>
    <t>(e)  Drywall and panel adhesives - 50 grams/liter</t>
  </si>
  <si>
    <t>3.7.8</t>
  </si>
  <si>
    <r>
      <rPr>
        <b/>
        <sz val="11"/>
        <color theme="1"/>
        <rFont val="Calibri"/>
        <family val="2"/>
        <scheme val="minor"/>
      </rPr>
      <t>Insulation.</t>
    </r>
    <r>
      <rPr>
        <sz val="11"/>
        <color theme="1"/>
        <rFont val="Calibri"/>
        <family val="2"/>
        <scheme val="minor"/>
      </rPr>
      <t xml:space="preserve">  A minimum of 85% of wall, ceiling and floor insulation materials are third-party program certified to ISO Guide 65, such as, but not limited to, GREENGUARD Environmental Institute Children and Schools Certification Program or Scientific Certification Systems (SCS) Indoor Advantage Gold Program.
</t>
    </r>
  </si>
  <si>
    <t>3.8 - Other Indoor Air Quality Practices</t>
  </si>
  <si>
    <t>3.8.1</t>
  </si>
  <si>
    <r>
      <rPr>
        <b/>
        <sz val="11"/>
        <color theme="1"/>
        <rFont val="Calibri"/>
        <family val="2"/>
        <scheme val="minor"/>
      </rPr>
      <t>Central vacuum system</t>
    </r>
    <r>
      <rPr>
        <sz val="11"/>
        <color theme="1"/>
        <rFont val="Calibri"/>
        <family val="2"/>
        <scheme val="minor"/>
      </rPr>
      <t xml:space="preserve"> is installed and vented to the outside</t>
    </r>
  </si>
  <si>
    <t>4 -- SUSTAINABILITY</t>
  </si>
  <si>
    <t>Penalty of 1 point for each 300 sf above benchmark, or add 1 point for each increment below</t>
  </si>
  <si>
    <t>0</t>
  </si>
  <si>
    <t>1</t>
  </si>
  <si>
    <t>2</t>
  </si>
  <si>
    <t>3</t>
  </si>
  <si>
    <t>4</t>
  </si>
  <si>
    <t>5</t>
  </si>
  <si>
    <t>6</t>
  </si>
  <si>
    <t>4.2 - Lot Design</t>
  </si>
  <si>
    <t>4.2.1</t>
  </si>
  <si>
    <t>4.2.2</t>
  </si>
  <si>
    <t>4.2.3</t>
  </si>
  <si>
    <t>4.2.4</t>
  </si>
  <si>
    <t>4.2.5</t>
  </si>
  <si>
    <t>4.2.6</t>
  </si>
  <si>
    <t>4.2.7</t>
  </si>
  <si>
    <t>4.2.8</t>
  </si>
  <si>
    <t>4.2.9</t>
  </si>
  <si>
    <t>4.2.10</t>
  </si>
  <si>
    <t>4.3 - Durability</t>
  </si>
  <si>
    <t>4.3.1</t>
  </si>
  <si>
    <r>
      <rPr>
        <b/>
        <sz val="11"/>
        <rFont val="Calibri"/>
        <family val="2"/>
        <scheme val="minor"/>
      </rPr>
      <t>Continuous physical foundation termite barrier or low toxicity treatment</t>
    </r>
    <r>
      <rPr>
        <sz val="11"/>
        <rFont val="Calibri"/>
        <family val="2"/>
        <scheme val="minor"/>
      </rPr>
      <t xml:space="preserve"> including all structural walls, floors, exterior claddings within the first 3 feet above the top of the foundation for termite protection is installed. </t>
    </r>
  </si>
  <si>
    <t>4.3.2</t>
  </si>
  <si>
    <r>
      <rPr>
        <b/>
        <sz val="11"/>
        <color theme="1"/>
        <rFont val="Calibri"/>
        <family val="2"/>
        <scheme val="minor"/>
      </rPr>
      <t>Exterior doors are protected</t>
    </r>
    <r>
      <rPr>
        <sz val="11"/>
        <color theme="1"/>
        <rFont val="Calibri"/>
        <family val="2"/>
        <scheme val="minor"/>
      </rPr>
      <t xml:space="preserve"> by an overhang with a minimum 0.375 projection factor. Eastern and western facing entries in Climate Zones 1, 2, and 3 have a projection factor 1.0 minimum. (PF = A/B; A = overhang depth, B = bottom of overhang to bottom of door) (1 point per covered door with a maximum of 4 points).</t>
    </r>
  </si>
  <si>
    <t>4.3.3</t>
  </si>
  <si>
    <r>
      <rPr>
        <b/>
        <sz val="11"/>
        <color theme="1"/>
        <rFont val="Calibri"/>
        <family val="2"/>
        <scheme val="minor"/>
      </rPr>
      <t>Roof overhangs</t>
    </r>
    <r>
      <rPr>
        <sz val="11"/>
        <color theme="1"/>
        <rFont val="Calibri"/>
        <family val="2"/>
        <scheme val="minor"/>
      </rPr>
      <t xml:space="preserve"> are 12" deep or enhanced waterproofing (extra waterproof layer of sheathing over drainage layer with no penetrations on top) is used on parapets.  Builder to provide details for Verifier.</t>
    </r>
  </si>
  <si>
    <t>4.3.4</t>
  </si>
  <si>
    <r>
      <rPr>
        <b/>
        <sz val="11"/>
        <color theme="1"/>
        <rFont val="Calibri"/>
        <family val="2"/>
        <scheme val="minor"/>
      </rPr>
      <t>A gutter and downspout system or splash blocks and effective grading</t>
    </r>
    <r>
      <rPr>
        <sz val="11"/>
        <color theme="1"/>
        <rFont val="Calibri"/>
        <family val="2"/>
        <scheme val="minor"/>
      </rPr>
      <t xml:space="preserve"> are provided to carry water a minimum of five feet away from perimeter foundation walls. Finished grade is at all sides of a building is sloped to provide a minimum of six inches of fall within ten feet or 2% slope if less than ten feet.</t>
    </r>
  </si>
  <si>
    <t>4.4.1</t>
  </si>
  <si>
    <t>4.4.2</t>
  </si>
  <si>
    <t>4.4.3</t>
  </si>
  <si>
    <r>
      <rPr>
        <b/>
        <sz val="11"/>
        <color theme="1"/>
        <rFont val="Calibri"/>
        <family val="2"/>
        <scheme val="minor"/>
      </rPr>
      <t>Home owner recycling is facilitated</t>
    </r>
    <r>
      <rPr>
        <sz val="11"/>
        <color theme="1"/>
        <rFont val="Calibri"/>
        <family val="2"/>
        <scheme val="minor"/>
      </rPr>
      <t xml:space="preserve"> with recycling space in the kitchen and a collection space in the garage or other protected area on the property.</t>
    </r>
  </si>
  <si>
    <t>4.4.4</t>
  </si>
  <si>
    <r>
      <rPr>
        <b/>
        <sz val="11"/>
        <color theme="1"/>
        <rFont val="Calibri"/>
        <family val="2"/>
        <scheme val="minor"/>
      </rPr>
      <t>Prefabricated components</t>
    </r>
    <r>
      <rPr>
        <sz val="11"/>
        <color theme="1"/>
        <rFont val="Calibri"/>
        <family val="2"/>
        <scheme val="minor"/>
      </rPr>
      <t xml:space="preserve"> for</t>
    </r>
  </si>
  <si>
    <t>(a) floor system</t>
  </si>
  <si>
    <t>(b) wall system</t>
  </si>
  <si>
    <t>(c) roof system</t>
  </si>
  <si>
    <t>4.4.5</t>
  </si>
  <si>
    <r>
      <rPr>
        <b/>
        <sz val="11"/>
        <color theme="1"/>
        <rFont val="Calibri"/>
        <family val="2"/>
        <scheme val="minor"/>
      </rPr>
      <t>Modular construction</t>
    </r>
    <r>
      <rPr>
        <sz val="11"/>
        <color theme="1"/>
        <rFont val="Calibri"/>
        <family val="2"/>
        <scheme val="minor"/>
      </rPr>
      <t xml:space="preserve"> for home</t>
    </r>
  </si>
  <si>
    <t xml:space="preserve">4.5 - Universal Design </t>
  </si>
  <si>
    <t>4.5.1</t>
  </si>
  <si>
    <t>4.5.2</t>
  </si>
  <si>
    <t>4.5.3</t>
  </si>
  <si>
    <t>4.5.4</t>
  </si>
  <si>
    <t>4.6 - Building Owner Education</t>
  </si>
  <si>
    <t>4.6.1</t>
  </si>
  <si>
    <t>Provided By BGNM</t>
  </si>
  <si>
    <t>4.6.2</t>
  </si>
  <si>
    <t>4.6.3</t>
  </si>
  <si>
    <t>4.6.4</t>
  </si>
  <si>
    <t>4.6.5</t>
  </si>
  <si>
    <t>4.6.6</t>
  </si>
  <si>
    <t>What is this column needed for?</t>
  </si>
  <si>
    <t>Indoor Water Fixtures and Appliances</t>
  </si>
  <si>
    <t>Water Fixture or Appliance</t>
  </si>
  <si>
    <t>Notes
(see below)</t>
  </si>
  <si>
    <t>Industry Baseline</t>
  </si>
  <si>
    <t>BGNM
Baseline</t>
  </si>
  <si>
    <t>Proposed (Preliminary) or Final Verification (Use average if various flow rates)</t>
  </si>
  <si>
    <t>Fixture or Appliance Installed in Home?</t>
  </si>
  <si>
    <t>Required for Grey Water Reuse Calculations</t>
  </si>
  <si>
    <r>
      <t xml:space="preserve">Number of Fixtures or Appliances
</t>
    </r>
    <r>
      <rPr>
        <b/>
        <i/>
        <sz val="8"/>
        <color theme="0"/>
        <rFont val="Calibri"/>
        <family val="2"/>
        <scheme val="minor"/>
      </rPr>
      <t>(HIDDEN FOR BGNM)</t>
    </r>
  </si>
  <si>
    <t>Quantity Multiplier (If Column G = Yes)</t>
  </si>
  <si>
    <t>Occupants</t>
  </si>
  <si>
    <t>Frequency</t>
  </si>
  <si>
    <t>Industry Baseline Gal/Day</t>
  </si>
  <si>
    <t>BGNM Baseline Gal/Day</t>
  </si>
  <si>
    <t>Proposed or Actual Daily Use in Gallons</t>
  </si>
  <si>
    <t>Gallons saved</t>
  </si>
  <si>
    <t>Percent Saved
Per Fixture</t>
  </si>
  <si>
    <r>
      <t xml:space="preserve">EXPECTED
Percent of Overall Use </t>
    </r>
    <r>
      <rPr>
        <i/>
        <sz val="6"/>
        <color theme="0"/>
        <rFont val="Calibri"/>
        <family val="2"/>
        <scheme val="minor"/>
      </rPr>
      <t>(AWWA)</t>
    </r>
  </si>
  <si>
    <t>ACTUAL
Percent of Overall Use</t>
  </si>
  <si>
    <t>Installation or Testing Confirmed?
(For final certification, ALL rows below must be verified 'Yes'.</t>
  </si>
  <si>
    <t>Notes About How Practice is Satisfied</t>
  </si>
  <si>
    <t>Total Number of Fixtures Installed</t>
  </si>
  <si>
    <t>Number of Fixtures Plumbed for Grey Water Reuse</t>
  </si>
  <si>
    <t>Occupants
(Bedrooms +1) LINKED</t>
  </si>
  <si>
    <t>Duration (minutes) LINKED</t>
  </si>
  <si>
    <t>Uses/Day/Occupant
LINKED</t>
  </si>
  <si>
    <t>A</t>
  </si>
  <si>
    <t>Toilets (GPF)</t>
  </si>
  <si>
    <t>(a), (b)</t>
  </si>
  <si>
    <t>B</t>
  </si>
  <si>
    <t>Showerheads (GPM)</t>
  </si>
  <si>
    <t>(a), (c)</t>
  </si>
  <si>
    <t>C</t>
  </si>
  <si>
    <t>Bathtubs</t>
  </si>
  <si>
    <t>(k)</t>
  </si>
  <si>
    <t>For Greywater Calcs</t>
  </si>
  <si>
    <t>D</t>
  </si>
  <si>
    <t>Lavatory Faucets (GPM)</t>
  </si>
  <si>
    <t>(a), (d)</t>
  </si>
  <si>
    <t>E</t>
  </si>
  <si>
    <t>Kitchen Faucets (GPM)</t>
  </si>
  <si>
    <t>(a), (e)</t>
  </si>
  <si>
    <t>F</t>
  </si>
  <si>
    <t>Dishwashers (GPC)</t>
  </si>
  <si>
    <t>(f)</t>
  </si>
  <si>
    <t xml:space="preserve">  </t>
  </si>
  <si>
    <t>G</t>
  </si>
  <si>
    <t>Clothes Washer Water Efficiency (WF)</t>
  </si>
  <si>
    <t>(g)</t>
  </si>
  <si>
    <t>H</t>
  </si>
  <si>
    <t>Water used to reach 100 degrees (Gallons)</t>
  </si>
  <si>
    <t>(h)</t>
  </si>
  <si>
    <t>I</t>
  </si>
  <si>
    <t>Rainwater captured for indoor water use</t>
  </si>
  <si>
    <t>(i), (j)</t>
  </si>
  <si>
    <t>Totals</t>
  </si>
  <si>
    <t>Projected Gallons Saved per Day</t>
  </si>
  <si>
    <t>The WEiR (Water Efficiency indoor Rating) Index can range from
0 to greater than 100 with a lower index number being better.</t>
  </si>
  <si>
    <t>WEiR index for this project is</t>
  </si>
  <si>
    <t>Indoor Gallons Saved per Day</t>
  </si>
  <si>
    <t>Annual Indoor Gallons Saved</t>
  </si>
  <si>
    <t>Notes</t>
  </si>
  <si>
    <t>GPF = Gallons/Flush; GPM = Gallons/Minute</t>
  </si>
  <si>
    <t>If more than one toilet is installed in the home, average the GPF of all the toilets for the WEiR index.</t>
  </si>
  <si>
    <t>If more than one showerhead is installed in the home, average the GPM of all the showerheads for the WEiR index.</t>
  </si>
  <si>
    <t>If more than one lavatory faucet is installed in the home, average the GPM of all the lavatory faucets for the WEiR index.</t>
  </si>
  <si>
    <t>If more than one kitchen faucet is installed in the home, count only the faucet that serves the sink next to the dishwasher.</t>
  </si>
  <si>
    <r>
      <t xml:space="preserve">If more than one dishwasher is installed in the home, average the gallons per cycle (GPC) of all the dishwashers for the </t>
    </r>
    <r>
      <rPr>
        <b/>
        <sz val="11"/>
        <color theme="1"/>
        <rFont val="Calibri"/>
        <family val="2"/>
        <scheme val="minor"/>
      </rPr>
      <t>WEiR</t>
    </r>
    <r>
      <rPr>
        <sz val="11"/>
        <color theme="1"/>
        <rFont val="Calibri"/>
        <family val="2"/>
        <scheme val="minor"/>
      </rPr>
      <t xml:space="preserve"> index.  A source for determining GPC of dishwashers is http://www.energystar.gov/productfinder/product/certified-residential-dishwashers/.</t>
    </r>
  </si>
  <si>
    <t>To determine the water used (wasted) to reach 100 degrees the verifier must do the following:</t>
  </si>
  <si>
    <t>(1)</t>
  </si>
  <si>
    <r>
      <rPr>
        <b/>
        <sz val="11"/>
        <color theme="1"/>
        <rFont val="Calibri"/>
        <family val="2"/>
        <scheme val="minor"/>
      </rPr>
      <t xml:space="preserve">For </t>
    </r>
    <r>
      <rPr>
        <b/>
        <i/>
        <sz val="11"/>
        <color theme="1"/>
        <rFont val="Calibri"/>
        <family val="2"/>
        <scheme val="minor"/>
      </rPr>
      <t>non-circulation</t>
    </r>
    <r>
      <rPr>
        <b/>
        <sz val="11"/>
        <color theme="1"/>
        <rFont val="Calibri"/>
        <family val="2"/>
        <scheme val="minor"/>
      </rPr>
      <t xml:space="preserve"> systems (all types)</t>
    </r>
    <r>
      <rPr>
        <sz val="11"/>
        <color theme="1"/>
        <rFont val="Calibri"/>
        <family val="2"/>
        <scheme val="minor"/>
      </rPr>
      <t xml:space="preserve"> - Determine the water fixture to be tested.  This fixture shall be the showerhead or kitchen faucet (closest to the dishwasher if more than one) that is farthest from the hot water source (hot water heater or storage tank).  Run no hot water through the system for 1 hour.  Perform the measurement as follows.  Run hot water only (no cold water) from the fixture to be tested into a measurement container.  Using a fast-reading digital thermometer, stop the flow when the temperature from the fixture reaches 100 degrees.  Record the amount of water wasted before reaching 100 degrees in the WEiR table above.  </t>
    </r>
  </si>
  <si>
    <t>2)</t>
  </si>
  <si>
    <r>
      <rPr>
        <b/>
        <sz val="11"/>
        <color theme="1"/>
        <rFont val="Calibri"/>
        <family val="2"/>
        <scheme val="minor"/>
      </rPr>
      <t xml:space="preserve">For all </t>
    </r>
    <r>
      <rPr>
        <b/>
        <i/>
        <sz val="11"/>
        <color theme="1"/>
        <rFont val="Calibri"/>
        <family val="2"/>
        <scheme val="minor"/>
      </rPr>
      <t>circulation</t>
    </r>
    <r>
      <rPr>
        <b/>
        <sz val="11"/>
        <color theme="1"/>
        <rFont val="Calibri"/>
        <family val="2"/>
        <scheme val="minor"/>
      </rPr>
      <t xml:space="preserve"> systems</t>
    </r>
    <r>
      <rPr>
        <sz val="11"/>
        <color theme="1"/>
        <rFont val="Calibri"/>
        <family val="2"/>
        <scheme val="minor"/>
      </rPr>
      <t xml:space="preserve"> - Fixtures to be tested include all showerheads (including each showerhead in enclosures with multiple showerheads) and the kitchen faucet closest to the dishwasher.  Initiate the circulation system for 2 minutes before starting the test.  Perform the test on each fixture as follows.  Run hot water only (no cold water) from the fixture to be tested into a measurement container.  Using a fast-reading digital thermometer, stop the flow when the temperature from the fixture reaches 100 degrees.  Note the amount of water wasted before 100 degrees.  Repeat for all required fixtures.  Record the worst-case amount of water wasted before reaching 100 degrees in the WEiR table above.  </t>
    </r>
  </si>
  <si>
    <t>(i)</t>
  </si>
  <si>
    <t>Rainwater capture (or other legal water capture and reuse such as greywater, etc.) for reuse indoors:  Chart for calculations is under development.</t>
  </si>
  <si>
    <t>(j)</t>
  </si>
  <si>
    <t>Water savings can not exceed water use of fixtures supplied with rainwater (or other legal reused water).  Fixtures must be piped with 'purple pipe'.</t>
  </si>
  <si>
    <t>Bathtub input is not used for the WEiR index calculation but is used for greywater reuse calculations if a greywater system is installed.</t>
  </si>
  <si>
    <t>Indoor Values</t>
  </si>
  <si>
    <t>EPA 1992</t>
  </si>
  <si>
    <t>Baseline Fixtures, per EPAct 1992</t>
  </si>
  <si>
    <t>Fixture Use</t>
  </si>
  <si>
    <t>(INDUSTRY)</t>
  </si>
  <si>
    <t>Fixture</t>
  </si>
  <si>
    <t>Flow Rate</t>
  </si>
  <si>
    <t>Duration (sec)</t>
  </si>
  <si>
    <t>Uses/Day/Occupant</t>
  </si>
  <si>
    <t>Gallons/Use</t>
  </si>
  <si>
    <t>Baseline Toilets (GPF)</t>
  </si>
  <si>
    <t>-</t>
  </si>
  <si>
    <t>Baseline Urinals (GPF)</t>
  </si>
  <si>
    <t>Baseline Showerheads (GPM)</t>
  </si>
  <si>
    <t>Tub Faucet (GPM)</t>
  </si>
  <si>
    <t>Steve Vollstedt entered 10 gallons per use to use for grey water calculations</t>
  </si>
  <si>
    <t>Baseline Bathroom Faucets (GPM)</t>
  </si>
  <si>
    <t>Baseline Kitchen Faucets (GPM)</t>
  </si>
  <si>
    <t>Steve Hale requested kitchen faucet use per day for each occupant for hot water draws be changed to 1 from 4.</t>
  </si>
  <si>
    <t>Dishwasher (GPC)</t>
  </si>
  <si>
    <t>Washing Machine Water Factor (WF) - Water consumption per load divided by clothes washer capacity in cubic feet</t>
  </si>
  <si>
    <t>PREVIOUS WORDING OF CELL B11 -- Washing Machine (WF) water factor / water efficiency</t>
  </si>
  <si>
    <t>Clothes Washer Gallons per Load per H2ouse.org</t>
  </si>
  <si>
    <t>STEVE VOLLSTEDT ADDED THIS ROW</t>
  </si>
  <si>
    <t>Hot water recirculation loop</t>
  </si>
  <si>
    <t>USES PER DAY PER OCCUPANT (GENERAL)</t>
  </si>
  <si>
    <t>STEVE HALE NOTES:</t>
  </si>
  <si>
    <t>BGNM</t>
  </si>
  <si>
    <t>Baseline Fixtures, per BGNM</t>
  </si>
  <si>
    <t>NEED BASE LINE INDUSTRY STANDARD COLUMN FOR "100"</t>
  </si>
  <si>
    <t>NEED ANOTHER COLUMN TO SHOW BUILDING PROGRAM REQUIREMENTS (BGNM IS ENERGY STAR &amp; WATER SENSE)</t>
  </si>
  <si>
    <t>PREVIOUS WORDING OF CELL B25 -- Washing Machine (WF) water factor / water efficiency
Uses per Day per Occupant = 0.2 per Steve Hale.</t>
  </si>
  <si>
    <t>AWWA</t>
  </si>
  <si>
    <t>PERCENT USE per AWWA</t>
  </si>
  <si>
    <t>http://www.home-water-works.org/indoor-use</t>
  </si>
  <si>
    <t>Percent of Overall use</t>
  </si>
  <si>
    <t>Baseline Toilets</t>
  </si>
  <si>
    <t>http://www.home-water-works.org/indoor-use/toilets</t>
  </si>
  <si>
    <t>Baseline Urinals</t>
  </si>
  <si>
    <t>Baseline Showerheads</t>
  </si>
  <si>
    <t>http://www.home-water-works.org/indoor-use/showers</t>
  </si>
  <si>
    <t>Bath</t>
  </si>
  <si>
    <t>Baseline Lavatory Faucets</t>
  </si>
  <si>
    <t>http://www.home-water-works.org/indoor-use/faucet</t>
  </si>
  <si>
    <t>Baseline Kitchen Faucets</t>
  </si>
  <si>
    <t>Dishwasher</t>
  </si>
  <si>
    <t>http://www.home-water-works.org/indoor-use/dishwasher</t>
  </si>
  <si>
    <t>Clothes Washer</t>
  </si>
  <si>
    <t>http://www.home-water-works.org/indoor-use/clothes-washer</t>
  </si>
  <si>
    <t>Leak</t>
  </si>
  <si>
    <t>http://www.home-water-works.org/indoor-use/leaks</t>
  </si>
  <si>
    <t>WEiR Index
Verification &amp; Testing of Indoor Water Fixtures &amp; Appliances</t>
  </si>
  <si>
    <t>H O M E   A D D R E S S   A N D   V E R I F I E R   I N F O R M A T I O N</t>
  </si>
  <si>
    <t>Name of Verifier:</t>
  </si>
  <si>
    <t>Verifier's Company Name:</t>
  </si>
  <si>
    <t>Verifier's Email Address:</t>
  </si>
  <si>
    <t>Builder:</t>
  </si>
  <si>
    <t>Date(s) of Testing &amp; Verification:</t>
  </si>
  <si>
    <t>Hot Water Circulation System</t>
  </si>
  <si>
    <t xml:space="preserve">Verifier must determine if the home has hot water recirculation system(s) that services all shower areas and the kitchen.  If the home does not have hot water recirculation system(s) that services all shower areas and the kitchen, the verifier must determine the volume of structural water waste from the shower head or kitchen sink faucet that is farthest from the hot water heater.  If the home does have hot water recirculation system(s) that services all shower areas and the kitchen, the verifier must determine the volume of structural water waste from every shower head and the kitchen faucet and the worst-case of those measurements shall be the structural water waste for the home. </t>
  </si>
  <si>
    <t>Does the home have hot water recirculation system(s) that services all showers and kitchen sink? ---&gt;</t>
  </si>
  <si>
    <t>If Yes, type of hot water recirculation system? ---&gt;</t>
  </si>
  <si>
    <t>Is there an aquastat sensor? ---&gt;</t>
  </si>
  <si>
    <t xml:space="preserve">If No, what fixture is farthest from water heater? ---&gt;  </t>
  </si>
  <si>
    <t>Structural Hot Water Waste  (Water Wasted Before Temperature Reaches 100° at 'Worst Case' Fixture)</t>
  </si>
  <si>
    <r>
      <t xml:space="preserve">Gallons    </t>
    </r>
    <r>
      <rPr>
        <b/>
        <sz val="11"/>
        <color theme="3"/>
        <rFont val="Calibri"/>
        <family val="2"/>
        <scheme val="minor"/>
      </rPr>
      <t>ENTER ON WEiR TAB.</t>
    </r>
    <r>
      <rPr>
        <sz val="11"/>
        <color theme="1"/>
        <rFont val="Calibri"/>
        <family val="2"/>
        <scheme val="minor"/>
      </rPr>
      <t xml:space="preserve">  This comes from the information below in the Kitchen Faucets and Shower Heads sections.</t>
    </r>
  </si>
  <si>
    <t>Kitchen Faucets</t>
  </si>
  <si>
    <r>
      <t xml:space="preserve">Kitchen faucet flow rates per manufacturer must be determined for each different faucet model installed.  If verifier cannot determine flow rate per manufacturer, verifier should measure the flow rate and enter the GPM flow rate rounded </t>
    </r>
    <r>
      <rPr>
        <b/>
        <i/>
        <sz val="11"/>
        <color theme="3" tint="-0.24994659260841701"/>
        <rFont val="Calibri"/>
        <family val="2"/>
        <scheme val="minor"/>
      </rPr>
      <t>Up</t>
    </r>
    <r>
      <rPr>
        <sz val="11"/>
        <color theme="3" tint="-0.24994659260841701"/>
        <rFont val="Calibri"/>
        <family val="2"/>
        <scheme val="minor"/>
      </rPr>
      <t xml:space="preserve"> to the next 0.5 gallon.  Verifier must test GPM flow rate of each different faucet model installed in each home.  For production builders, verification of flow rates for a model of faucet may be discontinued after verifier has tested flow rates of 5 faucets of that model.   Water wasted before reaching 100° must be measured by verifier for kitchen faucet nearest to the dishwasher as follows.  If the home has a hot water recirculation loop, the amount of water discharged from the faucet before the temperature rises to 100° must be measured.  If the home does not have a hot water recirculation loop, the amount of water discharged from the faucet nearest to the dishwasher before the temperature rises to 100° must be measured.</t>
    </r>
  </si>
  <si>
    <t>Number of Faucets</t>
  </si>
  <si>
    <t>Location</t>
  </si>
  <si>
    <t>GPM per Manufacturer Specification</t>
  </si>
  <si>
    <t>Manufacturer and Model Number of Faucet (or how GPM determined)</t>
  </si>
  <si>
    <t>Tested GPM Flow Rate (test each model installed)</t>
  </si>
  <si>
    <r>
      <t>Ounces before 100</t>
    </r>
    <r>
      <rPr>
        <sz val="9.5"/>
        <color theme="1"/>
        <rFont val="Calibri"/>
        <family val="2"/>
      </rPr>
      <t>°</t>
    </r>
  </si>
  <si>
    <r>
      <t>Gallons before 100</t>
    </r>
    <r>
      <rPr>
        <sz val="9.5"/>
        <color theme="1"/>
        <rFont val="Calibri"/>
        <family val="2"/>
      </rPr>
      <t>°</t>
    </r>
  </si>
  <si>
    <t>Explanation of How Ounces of Water Wasted Before Temperature Reaches 100° Was Measured</t>
  </si>
  <si>
    <t>Kitchen faucet closest to dishwasher</t>
  </si>
  <si>
    <t>Average GPM --&gt;</t>
  </si>
  <si>
    <t>&lt;-- ENTER ON WEiR TAB.</t>
  </si>
  <si>
    <t>Shower Heads</t>
  </si>
  <si>
    <r>
      <t xml:space="preserve">Showerhead flow rates per manufacturer must be determined for each different showerhead model installed.  If verifier cannot determine flow rate per manufacturer, verifier should measure the flow rate and enter the GPM flow rate rounded </t>
    </r>
    <r>
      <rPr>
        <b/>
        <i/>
        <sz val="11"/>
        <color theme="3" tint="-0.24994659260841701"/>
        <rFont val="Calibri"/>
        <family val="2"/>
        <scheme val="minor"/>
      </rPr>
      <t>Up</t>
    </r>
    <r>
      <rPr>
        <sz val="11"/>
        <color theme="3" tint="-0.24994659260841701"/>
        <rFont val="Calibri"/>
        <family val="2"/>
        <scheme val="minor"/>
      </rPr>
      <t xml:space="preserve"> to the next 0.5 gallon.  Verifier must test GPM flow rate of each different showerhead model installed in each home.  For production builders, verification of flow rates for a model of showerhead may be discontinued after verifier has tested flow rates of 5 showerheads of that model.   Water wasted before reaching 100° must be measured by verifier as follows.  If the home has a hot water recirculation loop, the amount of water discharged from every showerhead before the temperature rises to 100° must be measured.  If the home does not have a hot water recirculation loop, the amount of water discharged from the showerhead furthest from the hot water source before the temperature rises to 100° must be measured.</t>
    </r>
  </si>
  <si>
    <t>Number of Showerheads</t>
  </si>
  <si>
    <t>Manufacturer and Model Number of Showerhead (or how GPM determined)</t>
  </si>
  <si>
    <t>Average GPM per Manufacturer --&gt;</t>
  </si>
  <si>
    <t>Lavatory Faucets</t>
  </si>
  <si>
    <r>
      <t xml:space="preserve">Lavatory faucet flow rates per manufacturer must be determined for each different faucet model installed.  If verifier cannot determine flow rate per manufacturer, verifier should measure the flow rate and enter the GPM flow rate rounded </t>
    </r>
    <r>
      <rPr>
        <b/>
        <i/>
        <sz val="11"/>
        <color theme="1"/>
        <rFont val="Calibri"/>
        <family val="2"/>
        <scheme val="minor"/>
      </rPr>
      <t>Up</t>
    </r>
    <r>
      <rPr>
        <sz val="11"/>
        <color theme="1"/>
        <rFont val="Calibri"/>
        <family val="2"/>
        <scheme val="minor"/>
      </rPr>
      <t xml:space="preserve"> to the next 0.5 gallon.  Verifier must test GPM flow rate of each different faucet model installed in each home.  For production builders, verification of flow rates for a model of faucets may be discontinued after verifier has tested flow rates of 5 faucets of that model.</t>
    </r>
  </si>
  <si>
    <t>Manufacturer and Model Number of Lavatory Faucet (or how GPM determined)</t>
  </si>
  <si>
    <t>Toilets</t>
  </si>
  <si>
    <t>Toilet flush volumes per manufacturer must be determined but no testing is required.</t>
  </si>
  <si>
    <t>Number of Toilets</t>
  </si>
  <si>
    <t>GPF per Mfr Spec</t>
  </si>
  <si>
    <t>How was GPF volume determined? - Label on toilet, manufacturer's specification sheet, WaterSense label, etc.</t>
  </si>
  <si>
    <t>Average GPF per Manufacturer --&gt;</t>
  </si>
  <si>
    <t>Dishwashers</t>
  </si>
  <si>
    <t>Verify must determine GPC of water used for dishwashers.  A source for this information is www.energystar.gov/productfinder/product/certified-residential-dishwashers/.</t>
  </si>
  <si>
    <t>Number of Dishwashers</t>
  </si>
  <si>
    <t>GPC per Manufacturer Specification</t>
  </si>
  <si>
    <t>Manufacturer and Model Number of Dishwasher</t>
  </si>
  <si>
    <t>Average GPC --&gt;</t>
  </si>
  <si>
    <t>Clothes Washers</t>
  </si>
  <si>
    <t>Manufacturer, Brand and Model Number</t>
  </si>
  <si>
    <t>Capacity (cu. ft.)</t>
  </si>
  <si>
    <t>Maximum Integrated Water Factor (IWF) --&gt;</t>
  </si>
  <si>
    <t>Water Leakage Test</t>
  </si>
  <si>
    <t>Beginning Water Pressure (PSI)</t>
  </si>
  <si>
    <t>Ending Water Pressure (PSI)</t>
  </si>
  <si>
    <t>Water Leakage Test Result - Pass or Fail</t>
  </si>
  <si>
    <t>Verifier Notes &amp; Comments - Other</t>
  </si>
  <si>
    <t>BGNM Documentation and Photo Requirements</t>
  </si>
  <si>
    <t>HVAC Accountability Form</t>
  </si>
  <si>
    <t>Project Data</t>
  </si>
  <si>
    <t>Building Practice Summary</t>
  </si>
  <si>
    <t>Was This Practice Satisfied?</t>
  </si>
  <si>
    <r>
      <t>Equipment sizing.</t>
    </r>
    <r>
      <rPr>
        <sz val="11"/>
        <color theme="1"/>
        <rFont val="Calibri"/>
        <family val="2"/>
        <scheme val="minor"/>
      </rPr>
      <t xml:space="preserve">  Space heating and space cooling systems shall be sized in accordance with ACCA Manual S based on building loads calculated in accordance with ACCA Manual J, or other approved heating and cooling equipment sizing methodologies.  </t>
    </r>
    <r>
      <rPr>
        <b/>
        <sz val="11"/>
        <color theme="1"/>
        <rFont val="Calibri"/>
        <family val="2"/>
        <scheme val="minor"/>
      </rPr>
      <t>MANDATORY</t>
    </r>
  </si>
  <si>
    <t>I declare that the practices claimed by my company, subcontractors and or suppliers meet the requirements necessary to comply with the practices claimed above.</t>
  </si>
  <si>
    <t>HVAC Contractor 1</t>
  </si>
  <si>
    <t>Company Name</t>
  </si>
  <si>
    <t>Name of Responsible Contractor</t>
  </si>
  <si>
    <t>Contact Email</t>
  </si>
  <si>
    <t>Contact Phone Number</t>
  </si>
  <si>
    <t>Signature of Responsible Contractor</t>
  </si>
  <si>
    <t>HVAC Contractor 2</t>
  </si>
  <si>
    <t>Address of Project Home:</t>
  </si>
  <si>
    <t>Thermal Enclosure System Checklist</t>
  </si>
  <si>
    <t>Verification List</t>
  </si>
  <si>
    <t>OK</t>
  </si>
  <si>
    <t>See Note, below</t>
  </si>
  <si>
    <t>Climate Zone of Project Home:</t>
  </si>
  <si>
    <t>Thermal Enclosure System Practice</t>
  </si>
  <si>
    <t>Corrections Needed</t>
  </si>
  <si>
    <t>Rater
Verified</t>
  </si>
  <si>
    <t>Not
Applicable</t>
  </si>
  <si>
    <t>Photo of Correction Provided</t>
  </si>
  <si>
    <t>Reinspected by Verifier</t>
  </si>
  <si>
    <t>BGNM's Thermal Enclosure System Checklist is similar to the ENERGY STAR Certified Homes Thermal Enclosure System Rater Checklist, Version 3.  Further interpretations, definitions and guidance for BGNM's Thermal Enclosure System Checklist may be found in the Notes and guidelines provided with the ENERGY STAR Certified Homes Thermal Enclosure System Rater Checklist.  For homes that are ENERGY STAR-certified, BGNM will accept the current version of the ENERGY STAR Thermal Enclosure System Rater Checklist in lieu of this BGNM Thermal Enclosure System Checklist to minimize duplicative requirements.</t>
  </si>
  <si>
    <t>2.  Quality-Installed Insulation</t>
  </si>
  <si>
    <t>All ceiling, wall, floor and slab insulation shall achieve RESNET-defined Grade I installation or, alternatively, Grade II for surfaces that contain a layer of continuous, air impermeable insulation with R-value of at least R-3 in Climate Zones 1 to 4, and R-5 in Climate Zones 5 to 8.</t>
  </si>
  <si>
    <t>3.  Fully-Aligned Air Barriers</t>
  </si>
  <si>
    <t>At each insulated location below, a complete air barrier shall be provided that is fully aligned with the insulation as follows:
*  At interior or exterior surfaces of ceilings in Climate Zones 1-3; at interior surfaces of ceilings in Climate Zones 4-8.  Also, include barrier at interior edge of attic eave in all climate zones using a wind baffle that extends to the full height of the insulation.  Include a baffle in every bay or a tabbed baffle in each bay with a soffit vent that will also prevent wind washing of insulation in adjacent bays
*  At exterior surface of walls in all climate zones; and also at interior surface  of walls for Climate Zones 4-8 
*  At interior surfaces of floors in all climate zones, including supports to ensure permanent contact and blocking at exposed edges</t>
  </si>
  <si>
    <t>Walls</t>
  </si>
  <si>
    <t>Walls behind showers and tubs</t>
  </si>
  <si>
    <t>3.1.2</t>
  </si>
  <si>
    <t>Walls behind fireplaces</t>
  </si>
  <si>
    <t>3.1.3</t>
  </si>
  <si>
    <t>Attic knee walls</t>
  </si>
  <si>
    <t>3.1.4</t>
  </si>
  <si>
    <t>Skylight shaft walls</t>
  </si>
  <si>
    <t>3.1.5</t>
  </si>
  <si>
    <t>Walls adjoining porch roofs</t>
  </si>
  <si>
    <t>3.1.6</t>
  </si>
  <si>
    <t>Staircase walls</t>
  </si>
  <si>
    <t>3.1.7</t>
  </si>
  <si>
    <t>Double walls</t>
  </si>
  <si>
    <t>3.1.8</t>
  </si>
  <si>
    <t>Garage rim/band joists adjoining conditioned space</t>
  </si>
  <si>
    <t>3.1.9</t>
  </si>
  <si>
    <t>All other exterior walls</t>
  </si>
  <si>
    <t>Floors</t>
  </si>
  <si>
    <t>Floors above garage</t>
  </si>
  <si>
    <t>3.2.2</t>
  </si>
  <si>
    <t>Cantilevered floors</t>
  </si>
  <si>
    <t>3.2.3</t>
  </si>
  <si>
    <t>Floors above unconditioned basements or unconditioned crawlspaces</t>
  </si>
  <si>
    <t>Ceilings</t>
  </si>
  <si>
    <t>Dropped ceilings/soffits below unconditioned attics</t>
  </si>
  <si>
    <t>All other ceilings</t>
  </si>
  <si>
    <t>4.  Reduced Thermal Bridging</t>
  </si>
  <si>
    <t>For insulated ceilings with attic space above (i.e. non-cathedral), Grade I installation extends to the inside face of the exterior wall below at theses levels:  CZ 1-5: at least R-21; CZ 6-8: at least R-30</t>
  </si>
  <si>
    <t>For slabs on grade in CZ 4 and higher, 100% of slab edge insulated to at least R-5 at the depth specified by the 2009 IECC and aligned with thermal boundary of the walls</t>
  </si>
  <si>
    <t>Insulation beneath attic platforms (e.g., HVAC platforms, walkways) at least R-21 in CZ 1-5; at least R-30 in CZ 6-8</t>
  </si>
  <si>
    <t>Reduced thermal bridging at above-grade walls separating conditioned from unconditioned spaces (rim/band joists exempted) using one or more of the following options:</t>
  </si>
  <si>
    <r>
      <t xml:space="preserve">Continuous rigid insulation, insulated siding, or combination of the two; at least R-3 in CZ 1-4, at least R-5 in CZ 5-8, </t>
    </r>
    <r>
      <rPr>
        <b/>
        <sz val="11"/>
        <color theme="1"/>
        <rFont val="Calibri"/>
        <family val="2"/>
        <scheme val="minor"/>
      </rPr>
      <t>OR;</t>
    </r>
  </si>
  <si>
    <r>
      <t xml:space="preserve">Structural insulated panels (SIPs), </t>
    </r>
    <r>
      <rPr>
        <b/>
        <sz val="11"/>
        <color theme="1"/>
        <rFont val="Calibri"/>
        <family val="2"/>
        <scheme val="minor"/>
      </rPr>
      <t>OR;</t>
    </r>
  </si>
  <si>
    <r>
      <t xml:space="preserve">Insulated concrete forms (ICFs), </t>
    </r>
    <r>
      <rPr>
        <b/>
        <sz val="11"/>
        <color theme="1"/>
        <rFont val="Calibri"/>
        <family val="2"/>
        <scheme val="minor"/>
      </rPr>
      <t>OR;</t>
    </r>
  </si>
  <si>
    <r>
      <t xml:space="preserve">Double-wall framing, </t>
    </r>
    <r>
      <rPr>
        <b/>
        <sz val="11"/>
        <color theme="1"/>
        <rFont val="Calibri"/>
        <family val="2"/>
        <scheme val="minor"/>
      </rPr>
      <t>OR;</t>
    </r>
  </si>
  <si>
    <t>Advanced framing including all of the items below:</t>
  </si>
  <si>
    <t>4.4.5.1</t>
  </si>
  <si>
    <r>
      <t xml:space="preserve">All corners insulated to at least R-6, </t>
    </r>
    <r>
      <rPr>
        <b/>
        <sz val="11"/>
        <color theme="1"/>
        <rFont val="Calibri"/>
        <family val="2"/>
        <scheme val="minor"/>
      </rPr>
      <t>AND;</t>
    </r>
  </si>
  <si>
    <t>4.4.5.2</t>
  </si>
  <si>
    <r>
      <t xml:space="preserve">All headers above windows and doors insulated to at least R-3 for 2x4 framing or equivalent cavity width, and at least R-5 for all other assemblies (e.g., with 2x6 framing), </t>
    </r>
    <r>
      <rPr>
        <b/>
        <sz val="11"/>
        <color theme="1"/>
        <rFont val="Calibri"/>
        <family val="2"/>
        <scheme val="minor"/>
      </rPr>
      <t>AND;</t>
    </r>
  </si>
  <si>
    <t>4.4.5.3</t>
  </si>
  <si>
    <r>
      <t xml:space="preserve">Framing limited at all windows and doors to one pair of king studs, plus one pair of jack studs per window opening to support the header and sill, </t>
    </r>
    <r>
      <rPr>
        <b/>
        <sz val="11"/>
        <color theme="1"/>
        <rFont val="Calibri"/>
        <family val="2"/>
        <scheme val="minor"/>
      </rPr>
      <t>AND;</t>
    </r>
  </si>
  <si>
    <t>4.4.5.4</t>
  </si>
  <si>
    <r>
      <t xml:space="preserve">All interior/exterior wall intersections insulated to the same R-value as the rest of the exterior wall, </t>
    </r>
    <r>
      <rPr>
        <b/>
        <sz val="11"/>
        <color theme="1"/>
        <rFont val="Calibri"/>
        <family val="2"/>
        <scheme val="minor"/>
      </rPr>
      <t>AND;</t>
    </r>
  </si>
  <si>
    <t>4.4.5.5</t>
  </si>
  <si>
    <t>Stud spacing of 16 in. o.c. for 2x4 framing in all Climate Zones and, in CZs 5-8, 24 in. o.c. for 2x6 framing</t>
  </si>
  <si>
    <t>5.  Air Sealing</t>
  </si>
  <si>
    <t>Penetrations to unconditioned spaces fully sealed with solid blocking or flashing as needed and gaps sealed with caulk or foam</t>
  </si>
  <si>
    <t>5.1.1</t>
  </si>
  <si>
    <t>5.1.2</t>
  </si>
  <si>
    <t>Plumbing and piping</t>
  </si>
  <si>
    <t>5.1.3</t>
  </si>
  <si>
    <t>5.1.4</t>
  </si>
  <si>
    <t>Exhaust fans</t>
  </si>
  <si>
    <t>5.1.5</t>
  </si>
  <si>
    <t>5.1.6</t>
  </si>
  <si>
    <t>Light tubes adjacent to unconditioned spaces include lenses separating unconditioned and conditioned spaces and are fully gasketed.</t>
  </si>
  <si>
    <t>Cracks in the building enclosure fully sealed</t>
  </si>
  <si>
    <t>5.2.1</t>
  </si>
  <si>
    <t>All above-grade sill plates adjacent to conditioned spaces sealed to foundations or sub-floors with caulk, foam, or equivalent material.  Foam gasket also placed beneath above-grade sill plate if resting atop concrete or masonry and adjacent to conditioned space</t>
  </si>
  <si>
    <t>5.2.2</t>
  </si>
  <si>
    <t>At tops of walls adjoining unconditioned spaces, continuous top plates or sealed blocking using caulk, foam, or equivalent material</t>
  </si>
  <si>
    <t>5.2.3</t>
  </si>
  <si>
    <r>
      <rPr>
        <b/>
        <sz val="11"/>
        <color theme="1"/>
        <rFont val="Calibri"/>
        <family val="2"/>
        <scheme val="minor"/>
      </rPr>
      <t xml:space="preserve">FOR BGNM CERTIFICATIONS THIS PRACTICE IS NOT REQUIRED BUT BGNM ENCOURAGES IMPLEMENTING THIS PRACTICE.  </t>
    </r>
    <r>
      <rPr>
        <sz val="11"/>
        <color theme="1"/>
        <rFont val="Calibri"/>
        <family val="2"/>
        <scheme val="minor"/>
      </rPr>
      <t>Drywall sealed to top plates at all unconditioned attic to wall interfaces using caulk, foam, drywall adhesive (but not other construction adhesives), or equivalent material.  Either apply sealant directly between drywall and top plate or to the seam between the two from the attic above.</t>
    </r>
  </si>
  <si>
    <t>5.2.4</t>
  </si>
  <si>
    <t>Rough openings around windows and exterior doors sealed with caulk or foam</t>
  </si>
  <si>
    <t>5.2.5</t>
  </si>
  <si>
    <t>Marriage joints between modular home modules at all exterior boundary conditions fully sealed with gasket &amp; foam</t>
  </si>
  <si>
    <t>5.2.6</t>
  </si>
  <si>
    <t>All seams between Structural Insulated Panels (SIPs) foamed and/or taped per manufacturer's instructions</t>
  </si>
  <si>
    <t>5.2.7</t>
  </si>
  <si>
    <t>In multifamily buildings, the gap between the common wall (e.g. the drywall shaft wall) and the structural framing between units fully sealed at all exterior boundaries</t>
  </si>
  <si>
    <t>Other openings</t>
  </si>
  <si>
    <t>5.3.1</t>
  </si>
  <si>
    <t>Doors adjacent to unconditioned spaces (e.g. attics, garages, basements) or ambient conditions made substantially air-tight with weather-stripping or equivalent gasket</t>
  </si>
  <si>
    <t>5.3.2</t>
  </si>
  <si>
    <t>Attic access panels and dropdown stairs equipped with a durable insulated cover of at least R-10 that is gasketed (not caulked) to produce continuous air seal when occupant is not accessing the attic</t>
  </si>
  <si>
    <t>5.3.3</t>
  </si>
  <si>
    <t>Whole-house fans equipped with a durable insulated cover of at least R-10 that is gasketed and either installed on the house side or mechanically operated</t>
  </si>
  <si>
    <t>VERIFIER &amp; BUILDER NOTES  (Reference back to Practice # above)</t>
  </si>
  <si>
    <t>REQUIRED SIGNATURES FOR VERIFICATIONS AND INSPECTIONS</t>
  </si>
  <si>
    <t>Rater Company Name</t>
  </si>
  <si>
    <t>Rater Name</t>
  </si>
  <si>
    <t>Rater Signature</t>
  </si>
  <si>
    <t>Builder Company Name</t>
  </si>
  <si>
    <t>Builder Representative Name</t>
  </si>
  <si>
    <t>Builder Representative Signature</t>
  </si>
  <si>
    <t>Date(s) of Rough Inspection(s):</t>
  </si>
  <si>
    <t>Date(s) of Final Inspection(s)</t>
  </si>
  <si>
    <t>END OF THERMAL ENCLOSURE SYSTEM CHECKLIST</t>
  </si>
  <si>
    <t>New Mexico
Climate Zones</t>
  </si>
  <si>
    <t>City</t>
  </si>
  <si>
    <t>County</t>
  </si>
  <si>
    <t>Elevation
(feet)</t>
  </si>
  <si>
    <t>Heating Degree
Days (HDD,
 65° F)</t>
  </si>
  <si>
    <t>Cooling Degree
Days (CDD,
 XX°F)</t>
  </si>
  <si>
    <t>Climate
Zone</t>
  </si>
  <si>
    <t>The information in the table below is from Table 301.2 in Section 14.7.6.11 of the New Mexico Administrative Code.  Locations not listed in the table below shall use either Table 301.1, Section 301.3, or the building official may designate a climate zone consistent with the elevation, HDD and CDD from the table below for the unlisted location.  BGNM encourages users to refer back to the NM Administrative Code to determine if any changes have been made since the information below was obtained.</t>
  </si>
  <si>
    <t>Abiquiu Dam</t>
  </si>
  <si>
    <t>Rio Arriba</t>
  </si>
  <si>
    <t>5-B</t>
  </si>
  <si>
    <t>Angel Fire</t>
  </si>
  <si>
    <t>Colfax</t>
  </si>
  <si>
    <t>7-B</t>
  </si>
  <si>
    <t>Otero</t>
  </si>
  <si>
    <t>3-B</t>
  </si>
  <si>
    <t>Albuquerque</t>
  </si>
  <si>
    <t>Bernalillo</t>
  </si>
  <si>
    <t>4-B</t>
  </si>
  <si>
    <t>Artesia</t>
  </si>
  <si>
    <t>Eddy</t>
  </si>
  <si>
    <t>Aztec Ruins</t>
  </si>
  <si>
    <t>San Juan</t>
  </si>
  <si>
    <t>Belen</t>
  </si>
  <si>
    <t>Valencia</t>
  </si>
  <si>
    <t>Sandoval</t>
  </si>
  <si>
    <t>Bloomfield</t>
  </si>
  <si>
    <t>Bosque del Apache</t>
  </si>
  <si>
    <t>Socorro</t>
  </si>
  <si>
    <t>Carlsbad</t>
  </si>
  <si>
    <t>Carrizozo</t>
  </si>
  <si>
    <t>Lincoln</t>
  </si>
  <si>
    <t>Cedar Crest</t>
  </si>
  <si>
    <t>Chaco Canyon</t>
  </si>
  <si>
    <t>Chama</t>
  </si>
  <si>
    <t>6-B</t>
  </si>
  <si>
    <t>Clayton</t>
  </si>
  <si>
    <t>Union</t>
  </si>
  <si>
    <t>Cloudcroft</t>
  </si>
  <si>
    <t>Clovis</t>
  </si>
  <si>
    <t>Curry</t>
  </si>
  <si>
    <t>Corona</t>
  </si>
  <si>
    <t>Cuba</t>
  </si>
  <si>
    <t>Deming</t>
  </si>
  <si>
    <t>Luna</t>
  </si>
  <si>
    <t>Dulce</t>
  </si>
  <si>
    <t>Eagle Nest</t>
  </si>
  <si>
    <t>Edgewood</t>
  </si>
  <si>
    <t>Santa Fe</t>
  </si>
  <si>
    <t>Espanola</t>
  </si>
  <si>
    <t>Farmington</t>
  </si>
  <si>
    <t>Fence Lake</t>
  </si>
  <si>
    <t>Cibola</t>
  </si>
  <si>
    <t>Fort Sumner</t>
  </si>
  <si>
    <t>De Baca</t>
  </si>
  <si>
    <t>Gallup</t>
  </si>
  <si>
    <t>McKinley</t>
  </si>
  <si>
    <t>Glenwood</t>
  </si>
  <si>
    <t>Catron</t>
  </si>
  <si>
    <t>Grants</t>
  </si>
  <si>
    <t>Hatch</t>
  </si>
  <si>
    <t>Dona Ana</t>
  </si>
  <si>
    <t>Hobbs</t>
  </si>
  <si>
    <t>Lea</t>
  </si>
  <si>
    <t>Jemez Springs</t>
  </si>
  <si>
    <t>Las Cruces</t>
  </si>
  <si>
    <t>Las Vegas</t>
  </si>
  <si>
    <t>San Miguel</t>
  </si>
  <si>
    <t>Lordsburg</t>
  </si>
  <si>
    <t>Hidalgo</t>
  </si>
  <si>
    <t>Los Alamos</t>
  </si>
  <si>
    <t>Los Lunas</t>
  </si>
  <si>
    <t>Magdalena</t>
  </si>
  <si>
    <t>Mescalero</t>
  </si>
  <si>
    <t>Moriarty</t>
  </si>
  <si>
    <t>Torrance</t>
  </si>
  <si>
    <t>Mosquero</t>
  </si>
  <si>
    <t>Harding</t>
  </si>
  <si>
    <t>Mountainair</t>
  </si>
  <si>
    <t>Organ</t>
  </si>
  <si>
    <t>Placitas</t>
  </si>
  <si>
    <t>Portales</t>
  </si>
  <si>
    <t>Roosevelt</t>
  </si>
  <si>
    <t>Raton</t>
  </si>
  <si>
    <t>Red River</t>
  </si>
  <si>
    <t>Taos</t>
  </si>
  <si>
    <t>Reserve</t>
  </si>
  <si>
    <t>Rio Rancho</t>
  </si>
  <si>
    <t>Roswell</t>
  </si>
  <si>
    <t>Chaves</t>
  </si>
  <si>
    <t>Ruidoso</t>
  </si>
  <si>
    <t>Sandia Crest</t>
  </si>
  <si>
    <t>Sandia Park</t>
  </si>
  <si>
    <t>Santa Rosa</t>
  </si>
  <si>
    <t>Guadalupe</t>
  </si>
  <si>
    <t>Shiprock</t>
  </si>
  <si>
    <t>Silver City</t>
  </si>
  <si>
    <t>Grant</t>
  </si>
  <si>
    <t>Springer</t>
  </si>
  <si>
    <t>Taos Ski Valley</t>
  </si>
  <si>
    <t>Tatum</t>
  </si>
  <si>
    <t>Thoreau</t>
  </si>
  <si>
    <t>Tierra Amarilla</t>
  </si>
  <si>
    <t>Tijeras</t>
  </si>
  <si>
    <t>Tohatchi</t>
  </si>
  <si>
    <t>Truth or Consequences</t>
  </si>
  <si>
    <t>Sierra</t>
  </si>
  <si>
    <t>Tucumcari</t>
  </si>
  <si>
    <t>Quay</t>
  </si>
  <si>
    <t>Tularosa</t>
  </si>
  <si>
    <t>Zuni</t>
  </si>
  <si>
    <r>
      <rPr>
        <b/>
        <sz val="12"/>
        <color rgb="FFFAAA96"/>
        <rFont val="Calibri"/>
        <family val="2"/>
        <scheme val="minor"/>
      </rPr>
      <t>2009 IECC</t>
    </r>
    <r>
      <rPr>
        <b/>
        <sz val="12"/>
        <color theme="0"/>
        <rFont val="Calibri"/>
        <family val="2"/>
        <scheme val="minor"/>
      </rPr>
      <t xml:space="preserve"> -- Table 402.1.1
Insulation and Fenestration Requirements by Component (a)
The insulation requirements below is from the 2009 International Energy Conservation Code (IECC).  This information is reproduced below for your convenience.  You should refer to the 2009 IECC for the footnote references and to the general IECC requirements for the building thermal envelope.</t>
    </r>
  </si>
  <si>
    <t>Fenestration
U-Factor (b)</t>
  </si>
  <si>
    <t>Skylight
U-Factor (b)</t>
  </si>
  <si>
    <t>Glazed
Fenestration
SHGC (b) (e)</t>
  </si>
  <si>
    <t>Ceiling
R-Value</t>
  </si>
  <si>
    <t>Wood
Frame Wall
R-Value</t>
  </si>
  <si>
    <t>Mass
Wall
R-Value (i)</t>
  </si>
  <si>
    <t>Floor
R-Value</t>
  </si>
  <si>
    <t>Basement
Wall
R-Value (c)</t>
  </si>
  <si>
    <t>Slab
R-Value
&amp; Depth (d)</t>
  </si>
  <si>
    <t>Crawl Space
Wall
R-Value (c)</t>
  </si>
  <si>
    <t>0.50 (j)</t>
  </si>
  <si>
    <t>5/8</t>
  </si>
  <si>
    <t>5/13 (f)</t>
  </si>
  <si>
    <t>5/13</t>
  </si>
  <si>
    <t>No Requirement</t>
  </si>
  <si>
    <t>5/10</t>
  </si>
  <si>
    <t>10/13</t>
  </si>
  <si>
    <t>10, 2 ft.</t>
  </si>
  <si>
    <t>20 or 13+5 (h)</t>
  </si>
  <si>
    <t>13/17</t>
  </si>
  <si>
    <t>30 (g)</t>
  </si>
  <si>
    <t>15/19</t>
  </si>
  <si>
    <t>10, 4 ft.</t>
  </si>
  <si>
    <t>19/21</t>
  </si>
  <si>
    <r>
      <rPr>
        <b/>
        <sz val="12"/>
        <color rgb="FFFAAA96"/>
        <rFont val="Calibri"/>
        <family val="2"/>
        <scheme val="minor"/>
      </rPr>
      <t>2015 IECC</t>
    </r>
    <r>
      <rPr>
        <b/>
        <sz val="12"/>
        <color theme="0"/>
        <rFont val="Calibri"/>
        <family val="2"/>
        <scheme val="minor"/>
      </rPr>
      <t xml:space="preserve"> -- Table 402.1.1
Insulation and Fenestration Requirements by Component (a)
The insulation requirements below is from the 2015 International Energy Conservation Code (IECC).  This information is reproduced below for your convenience.  You should refer to the 2015 IECC for the complete footnote references and to the general IECC requirements for the building thermal envelope.</t>
    </r>
  </si>
  <si>
    <t>Glazed
Fenestration
SHGC (b)</t>
  </si>
  <si>
    <t>Ceiling
R-Value (z)</t>
  </si>
  <si>
    <t>8/13</t>
  </si>
  <si>
    <t>20+5 or 13+10 (h)</t>
  </si>
  <si>
    <t>15/20</t>
  </si>
  <si>
    <t>38 (g)</t>
  </si>
  <si>
    <t>Footnotes:</t>
  </si>
  <si>
    <t>(a)  R-values are minimums.  U-factors and SHGCs are maximums.  When insulation is installed in a cavity which is less than the label or design thickness of the insulation, the installed R-value of the insulation shall not be less than the R-value specified in the table.</t>
  </si>
  <si>
    <t xml:space="preserve">(b)  The fenestration U-factor column excludes skylights.  The SHGC column applies to all glazed fenestration.  Exception: Skylights may be excluded from glazed fenestration SHGC requirements in Climate Zones 1 through 3 where the SHGC for such skylights does not exceed 0.30. </t>
  </si>
  <si>
    <t>(c)  "15/19" means R-15 continuous insulation on the interior or exterior of the home or R-19 cavity insulation at the interior of the basement wall.  "15/19" shall be permitted to be met with R-13 cavity insulation on the interior of the basement wall plus R-5 continuous insulation on the interior or exterior of the home.  "10/13" means R-10 continuous insulation on the interior or exterior of the home or R-13 cavity insulation at the interior of the basement wall.</t>
  </si>
  <si>
    <t>Errata of
Version Changes</t>
  </si>
  <si>
    <t>Date</t>
  </si>
  <si>
    <t>Version</t>
  </si>
  <si>
    <t>Correction or Change</t>
  </si>
  <si>
    <t>Code Plus</t>
  </si>
  <si>
    <t>Contact Information</t>
  </si>
  <si>
    <t>HERS Rater &amp; Green Rater Information</t>
  </si>
  <si>
    <t>HERS Rater/Green Verifier Name</t>
  </si>
  <si>
    <t>Thermal Bypass Checklist.  This form, or an approved substitute, must be submitted for certification.</t>
  </si>
  <si>
    <t>Measured Volume of Water Wasted Before 100° Temperature</t>
  </si>
  <si>
    <r>
      <t xml:space="preserve">Boiler supply piping and domestic hot water supply piping located in unconditioned spaces shall be insulated to R-3, or higher.  </t>
    </r>
    <r>
      <rPr>
        <b/>
        <sz val="11"/>
        <color theme="1"/>
        <rFont val="Calibri"/>
        <family val="2"/>
        <scheme val="minor"/>
      </rPr>
      <t>MANDATORY</t>
    </r>
  </si>
  <si>
    <t>Verifier must determine the Water Factor (WF) for clothes washers to determine WEiR. The WF for clothes washers is the gallons of water used per cycle divided by the clothes washer capacity in cubic feet.  A source for the WF is www.energystar.gov/productfinder/product/certified-clothes-washers/.</t>
  </si>
  <si>
    <t>Water Factor (WF)</t>
  </si>
  <si>
    <r>
      <t xml:space="preserve">Start-up procedure is performed in accordance with the manufacturer's instructions.  </t>
    </r>
    <r>
      <rPr>
        <b/>
        <sz val="11"/>
        <color theme="1"/>
        <rFont val="Calibri"/>
        <family val="2"/>
        <scheme val="minor"/>
      </rPr>
      <t>MANDATORY</t>
    </r>
  </si>
  <si>
    <t>Photo provided</t>
  </si>
  <si>
    <t>No, saw photo</t>
  </si>
  <si>
    <t>Alamogordo</t>
  </si>
  <si>
    <t>HERS Index achieved &amp; applicable for BGNM certification (actual HERS Index of as-built home)</t>
  </si>
  <si>
    <r>
      <t xml:space="preserve">Certification Level </t>
    </r>
    <r>
      <rPr>
        <b/>
        <sz val="11"/>
        <color theme="1"/>
        <rFont val="Calibri"/>
        <family val="2"/>
      </rPr>
      <t>↓                Climate Zone →</t>
    </r>
  </si>
  <si>
    <t>Maximum HERS Index Requirements by Certification Level and Climate Zone</t>
  </si>
  <si>
    <t>CZ=3</t>
  </si>
  <si>
    <t>CZ=4</t>
  </si>
  <si>
    <t>CZ=5</t>
  </si>
  <si>
    <t>CZ=6</t>
  </si>
  <si>
    <t>CZ=7</t>
  </si>
  <si>
    <t>Max Cert #:</t>
  </si>
  <si>
    <t>CALCULATIONS FOR EXTRA POINTS FOR HERS INDEX LESS THAN SILVER LEVEL</t>
  </si>
  <si>
    <t>HERS Index Achieved</t>
  </si>
  <si>
    <t>Extra Points for Better HERS Index</t>
  </si>
  <si>
    <t>1.3 - Space Heating and Space Cooling</t>
  </si>
  <si>
    <t>1.3.2</t>
  </si>
  <si>
    <t>1.3.3</t>
  </si>
  <si>
    <t>Super-heat method</t>
  </si>
  <si>
    <t>Sub-cooling method</t>
  </si>
  <si>
    <t>PointList38</t>
  </si>
  <si>
    <t>1.3.4</t>
  </si>
  <si>
    <t>1.4 - Fenestration</t>
  </si>
  <si>
    <t>1.5 - Air Sealing and Insulation</t>
  </si>
  <si>
    <t>1.6 - Other Energy Efficiency Practices</t>
  </si>
  <si>
    <t>BGNM CANNOT CERTIFY</t>
  </si>
  <si>
    <t>CALCULATIONS POINTS FOR BUILDING AIR LEAKAGE</t>
  </si>
  <si>
    <t>Tested ACH50 leakage</t>
  </si>
  <si>
    <t>Points earned</t>
  </si>
  <si>
    <t>1.6.1</t>
  </si>
  <si>
    <t>1.6.2</t>
  </si>
  <si>
    <t>1.3.2 (a)</t>
  </si>
  <si>
    <t>1.3.2 (b)</t>
  </si>
  <si>
    <t>1.3.2 (c)</t>
  </si>
  <si>
    <t>1.3.2 (d)</t>
  </si>
  <si>
    <t>1.3.3 (a)</t>
  </si>
  <si>
    <t>1.3.3 (c)</t>
  </si>
  <si>
    <t>1.3.3 (d)</t>
  </si>
  <si>
    <r>
      <t xml:space="preserve">Heating and cooling distribution systems using ducting shall be sized and designed in accordance with ACCA Manual D, or equivalent.  Heating and cooling distribution systems not requiring ducting shall be designed following appropriate industry guidelines and practices.  </t>
    </r>
    <r>
      <rPr>
        <b/>
        <sz val="11"/>
        <color theme="1"/>
        <rFont val="Calibri"/>
        <family val="2"/>
        <scheme val="minor"/>
      </rPr>
      <t>MANDATORY</t>
    </r>
  </si>
  <si>
    <t>HVAC Contractors Declaration of Compliance</t>
  </si>
  <si>
    <t>BGNM requires that the name of the HVAC technician be documented along with the compliant certification program.</t>
  </si>
  <si>
    <t>Notes:</t>
  </si>
  <si>
    <t>Overall certification level achieved for Energy Efficiency</t>
  </si>
  <si>
    <t>Pts. Available --&gt;</t>
  </si>
  <si>
    <t>&lt;-- Pts. Earned</t>
  </si>
  <si>
    <t>1.6.3</t>
  </si>
  <si>
    <t>(d)  Solar-reflective roof or radiant barrier is installed in CZ 3 and CZ 4</t>
  </si>
  <si>
    <t>Name of Builder or Owner/Builder:</t>
  </si>
  <si>
    <t>HERS Rater Information</t>
  </si>
  <si>
    <t>Green Verifier Information (if different)</t>
  </si>
  <si>
    <t>Steve Hale instructed me to remove this from this sheet because it is not done by HVAC contractor.</t>
  </si>
  <si>
    <t>1.3.2 (f)</t>
  </si>
  <si>
    <t>(d)  A return air path shall be provided for every room with a door (i.e. return ducts or transfer grills) for forced-air heating and cooling distribution systems.  Return ducts or transfer grills are not required for bathrooms, kitchens, closets, pantries, and laundry rooms.</t>
  </si>
  <si>
    <t>Boiler supply piping and domestic hot water supply piping located in unconditioned spaces shall be insulated to R-3, or higher.</t>
  </si>
  <si>
    <t>Refrigerant charge is verified by super-heat and/or sub-cooling method.
HVAC contractor must provide date and method of verification of refrigerant charge.</t>
  </si>
  <si>
    <t>1/Tree, Max 3</t>
  </si>
  <si>
    <t>Overall certification level achieved for Water Efficiency</t>
  </si>
  <si>
    <t>Points earned  toward certification in Water section ----------&gt;</t>
  </si>
  <si>
    <t>Points earned  toward certification in Energy section ----------&gt;</t>
  </si>
  <si>
    <t>Whose address is this? ----------&gt;</t>
  </si>
  <si>
    <r>
      <rPr>
        <b/>
        <sz val="11"/>
        <color theme="1"/>
        <rFont val="Calibri"/>
        <family val="2"/>
        <scheme val="minor"/>
      </rPr>
      <t>Interior architectural coatings.</t>
    </r>
    <r>
      <rPr>
        <sz val="11"/>
        <color theme="1"/>
        <rFont val="Calibri"/>
        <family val="2"/>
        <scheme val="minor"/>
      </rPr>
      <t xml:space="preserve">  A minimum of 85% of interior (within the air pressure boundary of the home) architectural coatings are in accordance with the following maximum VOC content (allow 0.25 points per category, up to maximum of 1.5 points):
</t>
    </r>
  </si>
  <si>
    <t>PointList39</t>
  </si>
  <si>
    <t>PointList40</t>
  </si>
  <si>
    <t>PointList41</t>
  </si>
  <si>
    <r>
      <rPr>
        <b/>
        <sz val="11"/>
        <color theme="1"/>
        <rFont val="Calibri"/>
        <family val="2"/>
        <scheme val="minor"/>
      </rPr>
      <t>Interior adhesives and sealants.</t>
    </r>
    <r>
      <rPr>
        <sz val="11"/>
        <color theme="1"/>
        <rFont val="Calibri"/>
        <family val="2"/>
        <scheme val="minor"/>
      </rPr>
      <t xml:space="preserve">  A minimum of 85% of site-applied interior (within the air pressure boundary ) adhesives and sealants are in accordance with the following maximum VOC content or are GreenSeal GS-36 certified (0.25 point for each product category, up to maximum of 1.25 points):
</t>
    </r>
  </si>
  <si>
    <t>(d)  R-5 insulation shall be provided under the full slab area of a heated slab in addition to the required slab edge insulation R-value for slabs as indicated in the table.  The slab edge insulation for heated slabs shall not be required to extend below the slab.</t>
  </si>
  <si>
    <t>Overall certification level achieved for Indoor Air Quality</t>
  </si>
  <si>
    <t>Overall certification level achieved for Other Sustainability</t>
  </si>
  <si>
    <t>2 -- WATER EFFICIENCY PRACTICES - SUMMARY</t>
  </si>
  <si>
    <t>1 -- ENERGY EFFICIENCY PRACTICES - SUMMARY</t>
  </si>
  <si>
    <t>3 -- INDOOR AIR QUALITY PRACTICES - SUMMARY</t>
  </si>
  <si>
    <t>4 -- OTHER SUSTAINABILITY PRACTICES - SUMMARY</t>
  </si>
  <si>
    <t>PointList42</t>
  </si>
  <si>
    <t>Tested whole building ventilation in CFM ----------&gt;</t>
  </si>
  <si>
    <t>Points earned  toward certification in Indoor Air Quality section ----------&gt;</t>
  </si>
  <si>
    <t>Points earned  toward certification in Other Sustainability section ----------&gt;</t>
  </si>
  <si>
    <t>OVERALL BGNM CERTIFICATION RESULT</t>
  </si>
  <si>
    <t xml:space="preserve">Overall Build Green New Mexico Certification Level </t>
  </si>
  <si>
    <t>Points earned  toward certification - Overall ----------&gt;</t>
  </si>
  <si>
    <t>Highest Certification Level Achieved in Each Certification Section:</t>
  </si>
  <si>
    <t>Energy Efficiency</t>
  </si>
  <si>
    <t>Water Efficiency</t>
  </si>
  <si>
    <t>Indoor Air Quality</t>
  </si>
  <si>
    <t>Other Sustainability Practices</t>
  </si>
  <si>
    <t>Third-party Verifier's Name</t>
  </si>
  <si>
    <t>DuctTestCond</t>
  </si>
  <si>
    <t>Third-party Verifier's Company Name</t>
  </si>
  <si>
    <t>SupDocsList</t>
  </si>
  <si>
    <t>Not Applicable, See Note Below</t>
  </si>
  <si>
    <t xml:space="preserve">Water factor  (WF) is the quotient of the total weighted per-cycle water consumption divided by the capacity of the clothes washer.  More water-efficient clothes washers have lower water factors.  Sources for determining the WF of clothes washers are https://cacertappliances.energy.ca.gov/Pages/Appliance/ApplianceDetail.aspx and https://www.energystar.gov/productfinder/product/certified-clothes-washers/results
as potential resources.
</t>
  </si>
  <si>
    <t>With air handler</t>
  </si>
  <si>
    <t>Without air handler</t>
  </si>
  <si>
    <r>
      <t xml:space="preserve">1.3.2 (d)
</t>
    </r>
    <r>
      <rPr>
        <b/>
        <sz val="11"/>
        <color rgb="FFFF0000"/>
        <rFont val="Calibri"/>
        <family val="2"/>
        <scheme val="minor"/>
      </rPr>
      <t>NOT HVAC</t>
    </r>
  </si>
  <si>
    <r>
      <t xml:space="preserve">HVAC contractor and service technician are certified.  Nationally or regionally recognized program (e.g. North American Technician Excellence, Inc. (NATE), Air Conditioning Contractors of America Quality Assured Program (ACCA/QA), Building Performance Institute (BPI), or a manufacturer's training program is acceptable.  </t>
    </r>
    <r>
      <rPr>
        <sz val="11"/>
        <color rgb="FFFF0000"/>
        <rFont val="Calibri"/>
        <family val="2"/>
        <scheme val="minor"/>
      </rPr>
      <t>Service technician and certification program used must be documented.</t>
    </r>
  </si>
  <si>
    <r>
      <t xml:space="preserve">Must submit Tab 6, "6 Thermal Enclosure Checklist" from this workbook. </t>
    </r>
    <r>
      <rPr>
        <sz val="11"/>
        <color rgb="FFFF0000"/>
        <rFont val="Calibri"/>
        <family val="2"/>
        <scheme val="minor"/>
      </rPr>
      <t xml:space="preserve"> All corrections shall have been corrected.  </t>
    </r>
  </si>
  <si>
    <t>Method used to verify refrigerant charge ----&gt;</t>
  </si>
  <si>
    <t>Name of certified HVAC technician ----&gt;</t>
  </si>
  <si>
    <t>Is certification program compliant with BGNM's requirements?
Describe certification program in Notes column. ----&gt;</t>
  </si>
  <si>
    <t>1.3.2 (e)</t>
  </si>
  <si>
    <r>
      <t xml:space="preserve">(a)  Front is landscaped with 80% low water use plantings meeting the requirements described above, and turf grass cannot exceed 10% of the front yard area.  </t>
    </r>
    <r>
      <rPr>
        <sz val="11"/>
        <color rgb="FFFF0000"/>
        <rFont val="Calibri"/>
        <family val="2"/>
        <scheme val="minor"/>
      </rPr>
      <t xml:space="preserve">Qualifying plants must be listed in Notes for points </t>
    </r>
  </si>
  <si>
    <r>
      <t xml:space="preserve">(b)  Back is landscaped with overall low water use plantings and ground cover with turf not exceeding 1500 sf or 20% (whichever is less) of total landscape area (front and back).  </t>
    </r>
    <r>
      <rPr>
        <sz val="11"/>
        <color rgb="FFFF0000"/>
        <rFont val="Calibri"/>
        <family val="2"/>
        <scheme val="minor"/>
      </rPr>
      <t xml:space="preserve">Qualifying plants must be listed in Notes for points. </t>
    </r>
  </si>
  <si>
    <r>
      <rPr>
        <b/>
        <sz val="11"/>
        <color theme="1"/>
        <rFont val="Calibri"/>
        <family val="2"/>
        <scheme val="minor"/>
      </rPr>
      <t>Automatic shutoff water device.</t>
    </r>
    <r>
      <rPr>
        <sz val="11"/>
        <color theme="1"/>
        <rFont val="Calibri"/>
        <family val="2"/>
        <scheme val="minor"/>
      </rPr>
      <t xml:space="preserve">  One of the following automatic shutoff water supply devices is installed.  Where a fire sprinkler system is present, installer is to ensure the device will not interfere with the operation of the fire sprinkler system. </t>
    </r>
    <r>
      <rPr>
        <sz val="11"/>
        <color rgb="FFFF0000"/>
        <rFont val="Calibri"/>
        <family val="2"/>
        <scheme val="minor"/>
      </rPr>
      <t xml:space="preserve"> Photos of device(s) must be provided.</t>
    </r>
  </si>
  <si>
    <r>
      <rPr>
        <b/>
        <sz val="11"/>
        <color theme="1"/>
        <rFont val="Calibri"/>
        <family val="2"/>
        <scheme val="minor"/>
      </rPr>
      <t xml:space="preserve">Water softener systems.  </t>
    </r>
    <r>
      <rPr>
        <sz val="11"/>
        <color theme="1"/>
        <rFont val="Calibri"/>
        <family val="2"/>
        <scheme val="minor"/>
      </rPr>
      <t xml:space="preserve">Certified to NSF/ANSI Standard 44, including voluntary efficiency rating standards in Section 7 of that standard.  Contact BGNM for information about how to score.  </t>
    </r>
    <r>
      <rPr>
        <sz val="11"/>
        <color rgb="FFFF0000"/>
        <rFont val="Calibri"/>
        <family val="2"/>
        <scheme val="minor"/>
      </rPr>
      <t>Must provide photo of device and certification label.</t>
    </r>
  </si>
  <si>
    <r>
      <t xml:space="preserve">Water shutoff mechanism is installed on showerheads </t>
    </r>
    <r>
      <rPr>
        <sz val="11"/>
        <color theme="1"/>
        <rFont val="Calibri"/>
        <family val="2"/>
        <scheme val="minor"/>
      </rPr>
      <t xml:space="preserve">to </t>
    </r>
    <r>
      <rPr>
        <u/>
        <sz val="11"/>
        <color theme="1"/>
        <rFont val="Calibri"/>
        <family val="2"/>
        <scheme val="minor"/>
      </rPr>
      <t>automatically</t>
    </r>
    <r>
      <rPr>
        <sz val="11"/>
        <color theme="1"/>
        <rFont val="Calibri"/>
        <family val="2"/>
        <scheme val="minor"/>
      </rPr>
      <t xml:space="preserve"> decrease water flow to showerhead to</t>
    </r>
    <r>
      <rPr>
        <u/>
        <sz val="11"/>
        <color theme="1"/>
        <rFont val="Calibri"/>
        <family val="2"/>
        <scheme val="minor"/>
      </rPr>
      <t xml:space="preserve"> &lt;= 8 ounces/minute</t>
    </r>
    <r>
      <rPr>
        <sz val="11"/>
        <color theme="1"/>
        <rFont val="Calibri"/>
        <family val="2"/>
        <scheme val="minor"/>
      </rPr>
      <t xml:space="preserve"> when the water temperature at the showerhead reaches =&gt; 95° and which allows occupant to 'switch' the showerhead flow to normal flow when ready for shower.  Allow 0.5 points per showerhead up to maximum of 1 point. </t>
    </r>
    <r>
      <rPr>
        <sz val="11"/>
        <color rgb="FFFF0000"/>
        <rFont val="Calibri"/>
        <family val="2"/>
        <scheme val="minor"/>
      </rPr>
      <t xml:space="preserve"> Must provide photos of devices.</t>
    </r>
  </si>
  <si>
    <r>
      <t xml:space="preserve">Water treatment backflush water beneficially reused.  </t>
    </r>
    <r>
      <rPr>
        <sz val="11"/>
        <color rgb="FFFF0000"/>
        <rFont val="Calibri"/>
        <family val="2"/>
        <scheme val="minor"/>
      </rPr>
      <t>Must provide photos evidencing compliance.</t>
    </r>
  </si>
  <si>
    <r>
      <t xml:space="preserve">Water use monitoring system is installed.  </t>
    </r>
    <r>
      <rPr>
        <sz val="11"/>
        <color rgb="FFFF0000"/>
        <rFont val="Calibri"/>
        <family val="2"/>
        <scheme val="minor"/>
      </rPr>
      <t>Must provide photos of devices.</t>
    </r>
  </si>
  <si>
    <r>
      <t xml:space="preserve">Greywater stub out.  </t>
    </r>
    <r>
      <rPr>
        <sz val="11"/>
        <color rgb="FFFF0000"/>
        <rFont val="Calibri"/>
        <family val="2"/>
        <scheme val="minor"/>
      </rPr>
      <t>Must provide photos evidencing compliance.</t>
    </r>
  </si>
  <si>
    <r>
      <t xml:space="preserve">Purple pipe stub out.  </t>
    </r>
    <r>
      <rPr>
        <sz val="11"/>
        <color rgb="FFFF0000"/>
        <rFont val="Calibri"/>
        <family val="2"/>
        <scheme val="minor"/>
      </rPr>
      <t>Must provide photos evidencing compliance.</t>
    </r>
  </si>
  <si>
    <t>PointList43</t>
  </si>
  <si>
    <r>
      <rPr>
        <b/>
        <sz val="11"/>
        <color theme="1"/>
        <rFont val="Calibri"/>
        <family val="2"/>
        <scheme val="minor"/>
      </rPr>
      <t>Supply and return openings are covered during construction</t>
    </r>
    <r>
      <rPr>
        <sz val="11"/>
        <color theme="1"/>
        <rFont val="Calibri"/>
        <family val="2"/>
        <scheme val="minor"/>
      </rPr>
      <t xml:space="preserve"> or vacuumed before occupancy by builder; spot check by verifier for compliance.  </t>
    </r>
    <r>
      <rPr>
        <sz val="11"/>
        <color rgb="FFFF0000"/>
        <rFont val="Calibri"/>
        <family val="2"/>
        <scheme val="minor"/>
      </rPr>
      <t>Describe in Note column how ducts were protected during construction or cleaned before final.</t>
    </r>
  </si>
  <si>
    <r>
      <rPr>
        <b/>
        <sz val="11"/>
        <color theme="1"/>
        <rFont val="Calibri"/>
        <family val="2"/>
        <scheme val="minor"/>
      </rPr>
      <t>CO monitors are installed.</t>
    </r>
    <r>
      <rPr>
        <sz val="11"/>
        <color theme="1"/>
        <rFont val="Calibri"/>
        <family val="2"/>
        <scheme val="minor"/>
      </rPr>
      <t xml:space="preserve">  (Note: a basic CO alarm is NOT a CO monitor.) </t>
    </r>
    <r>
      <rPr>
        <sz val="11"/>
        <color rgb="FFFF0000"/>
        <rFont val="Calibri"/>
        <family val="2"/>
        <scheme val="minor"/>
      </rPr>
      <t xml:space="preserve"> Provide photo of CO monitor.</t>
    </r>
  </si>
  <si>
    <t>For each product, Verifier must retain specification sheets but the spec sheets do not have to be provided to BGNM.</t>
  </si>
  <si>
    <t>Verifier should retain specification sheet in files.</t>
  </si>
  <si>
    <r>
      <t xml:space="preserve">Document below the percentage of area treated with compliant interior architectural coatings and list the coatings and their VOC content.  </t>
    </r>
    <r>
      <rPr>
        <sz val="11"/>
        <color rgb="FFFF0000"/>
        <rFont val="Calibri"/>
        <family val="2"/>
        <scheme val="minor"/>
      </rPr>
      <t>Verifier should retain copies of specification sheets in files.</t>
    </r>
  </si>
  <si>
    <r>
      <t xml:space="preserve">Document below the percentage of interior adhesives &amp; sealants and list the interior adhesives &amp; sealants and their VOC content. </t>
    </r>
    <r>
      <rPr>
        <sz val="11"/>
        <color rgb="FFFF0000"/>
        <rFont val="Calibri"/>
        <family val="2"/>
        <scheme val="minor"/>
      </rPr>
      <t xml:space="preserve"> Verifier should retain copies of specification in files.</t>
    </r>
  </si>
  <si>
    <r>
      <t xml:space="preserve">Document below the percentage of insulation in compliance with the requirements and list the insulation products used and the certification program used for certification.  </t>
    </r>
    <r>
      <rPr>
        <sz val="11"/>
        <color rgb="FFFF0000"/>
        <rFont val="Calibri"/>
        <family val="2"/>
        <scheme val="minor"/>
      </rPr>
      <t>Must retain specification sheets in files.</t>
    </r>
  </si>
  <si>
    <r>
      <rPr>
        <b/>
        <sz val="11"/>
        <color theme="1"/>
        <rFont val="Calibri"/>
        <family val="2"/>
        <scheme val="minor"/>
      </rPr>
      <t>Limits of clearing and grading</t>
    </r>
    <r>
      <rPr>
        <sz val="11"/>
        <color theme="1"/>
        <rFont val="Calibri"/>
        <family val="2"/>
        <scheme val="minor"/>
      </rPr>
      <t xml:space="preserve"> and any natural resources to be protected are fenced or otherwise marked off on the site.  Adjacent lots, common areas are protected from damage.  </t>
    </r>
    <r>
      <rPr>
        <sz val="11"/>
        <color rgb="FFFF0000"/>
        <rFont val="Calibri"/>
        <family val="2"/>
        <scheme val="minor"/>
      </rPr>
      <t>Provide photos - can be exterior photos, previously taken.</t>
    </r>
  </si>
  <si>
    <r>
      <rPr>
        <b/>
        <sz val="11"/>
        <rFont val="Calibri"/>
        <family val="2"/>
        <scheme val="minor"/>
      </rPr>
      <t>Impervious surfaces are minimized</t>
    </r>
    <r>
      <rPr>
        <sz val="11"/>
        <rFont val="Calibri"/>
        <family val="2"/>
        <scheme val="minor"/>
      </rPr>
      <t xml:space="preserve"> and permeable materials are used for driveways, walkways and patios. .5 point per 25% converte</t>
    </r>
    <r>
      <rPr>
        <sz val="11"/>
        <color theme="1"/>
        <rFont val="Calibri"/>
        <family val="2"/>
        <scheme val="minor"/>
      </rPr>
      <t xml:space="preserve">d.  </t>
    </r>
    <r>
      <rPr>
        <sz val="11"/>
        <color rgb="FFFF0000"/>
        <rFont val="Calibri"/>
        <family val="2"/>
        <scheme val="minor"/>
      </rPr>
      <t>Provide photos - can be exterior photos, previously taken.</t>
    </r>
  </si>
  <si>
    <r>
      <rPr>
        <b/>
        <sz val="11"/>
        <color theme="1"/>
        <rFont val="Calibri"/>
        <family val="2"/>
        <scheme val="minor"/>
      </rPr>
      <t xml:space="preserve"> A lot is selected in a Green Certified Subdivision</t>
    </r>
    <r>
      <rPr>
        <sz val="11"/>
        <color theme="1"/>
        <rFont val="Calibri"/>
        <family val="2"/>
        <scheme val="minor"/>
      </rPr>
      <t xml:space="preserve"> (note certification program). </t>
    </r>
    <r>
      <rPr>
        <sz val="11"/>
        <color rgb="FFFF0000"/>
        <rFont val="Calibri"/>
        <family val="2"/>
        <scheme val="minor"/>
      </rPr>
      <t xml:space="preserve"> Provide copy of certificate.</t>
    </r>
  </si>
  <si>
    <r>
      <rPr>
        <b/>
        <sz val="11"/>
        <rFont val="Calibri"/>
        <family val="2"/>
        <scheme val="minor"/>
      </rPr>
      <t>An infill lot is selected with public infrastructure to the lot</t>
    </r>
    <r>
      <rPr>
        <sz val="11"/>
        <rFont val="Calibri"/>
        <family val="2"/>
        <scheme val="minor"/>
      </rPr>
      <t xml:space="preserve"> and six or more public resources within one mile (shops, library, restaurants, public transportation, schools, etc.). </t>
    </r>
    <r>
      <rPr>
        <sz val="11"/>
        <color rgb="FFFF0000"/>
        <rFont val="Calibri"/>
        <family val="2"/>
        <scheme val="minor"/>
      </rPr>
      <t>List resources and distances in Notes column.</t>
    </r>
  </si>
  <si>
    <r>
      <rPr>
        <b/>
        <sz val="11"/>
        <rFont val="Calibri"/>
        <family val="2"/>
        <scheme val="minor"/>
      </rPr>
      <t>An infill lot is selected that is a greyfield.</t>
    </r>
    <r>
      <rPr>
        <sz val="11"/>
        <rFont val="Calibri"/>
        <family val="2"/>
        <scheme val="minor"/>
      </rPr>
      <t xml:space="preserve">  Note former land us</t>
    </r>
    <r>
      <rPr>
        <sz val="11"/>
        <color theme="1"/>
        <rFont val="Calibri"/>
        <family val="2"/>
        <scheme val="minor"/>
      </rPr>
      <t xml:space="preserve">e.  </t>
    </r>
    <r>
      <rPr>
        <sz val="11"/>
        <color rgb="FFFF0000"/>
        <rFont val="Calibri"/>
        <family val="2"/>
        <scheme val="minor"/>
      </rPr>
      <t>Provide documentary evidence.</t>
    </r>
  </si>
  <si>
    <r>
      <t xml:space="preserve">Soil disturbance and erosion are minimized in accordance with a SWPPP plan. </t>
    </r>
    <r>
      <rPr>
        <b/>
        <sz val="11"/>
        <color rgb="FFFF0000"/>
        <rFont val="Calibri"/>
        <family val="2"/>
        <scheme val="minor"/>
      </rPr>
      <t xml:space="preserve"> </t>
    </r>
    <r>
      <rPr>
        <sz val="11"/>
        <color rgb="FFFF0000"/>
        <rFont val="Calibri"/>
        <family val="2"/>
        <scheme val="minor"/>
      </rPr>
      <t>Provide photo of SWPPP sign with number, or photo of cover page of SWPPP report.</t>
    </r>
  </si>
  <si>
    <r>
      <rPr>
        <b/>
        <sz val="11"/>
        <color theme="1"/>
        <rFont val="Calibri"/>
        <family val="2"/>
        <scheme val="minor"/>
      </rPr>
      <t>Soil density test is performed and certified</t>
    </r>
    <r>
      <rPr>
        <sz val="11"/>
        <color theme="1"/>
        <rFont val="Calibri"/>
        <family val="2"/>
        <scheme val="minor"/>
      </rPr>
      <t xml:space="preserve"> for compliance to recommendations. </t>
    </r>
    <r>
      <rPr>
        <sz val="11"/>
        <color rgb="FFFF0000"/>
        <rFont val="Calibri"/>
        <family val="2"/>
        <scheme val="minor"/>
      </rPr>
      <t xml:space="preserve"> Provide photo from report evidencing soil density test at project site.</t>
    </r>
  </si>
  <si>
    <r>
      <rPr>
        <b/>
        <sz val="11"/>
        <color theme="1"/>
        <rFont val="Calibri"/>
        <family val="2"/>
        <scheme val="minor"/>
      </rPr>
      <t>Wildlife habitat:</t>
    </r>
    <r>
      <rPr>
        <sz val="11"/>
        <color theme="1"/>
        <rFont val="Calibri"/>
        <family val="2"/>
        <scheme val="minor"/>
      </rPr>
      <t xml:space="preserve">  plants and gardens that provide food or nesting for birds and/or butterflies.  </t>
    </r>
    <r>
      <rPr>
        <sz val="11"/>
        <color rgb="FFFF0000"/>
        <rFont val="Calibri"/>
        <family val="2"/>
        <scheme val="minor"/>
      </rPr>
      <t>Provide descriptions and photos.</t>
    </r>
  </si>
  <si>
    <r>
      <rPr>
        <b/>
        <sz val="11"/>
        <color theme="1"/>
        <rFont val="Calibri"/>
        <family val="2"/>
        <scheme val="minor"/>
      </rPr>
      <t>Construction materials are recycled offsite</t>
    </r>
    <r>
      <rPr>
        <sz val="11"/>
        <color theme="1"/>
        <rFont val="Calibri"/>
        <family val="2"/>
        <scheme val="minor"/>
      </rPr>
      <t xml:space="preserve">.  At least 2 categories of materials should be recycled (metal, wood, cardboard/paper, plastic)  </t>
    </r>
    <r>
      <rPr>
        <sz val="11"/>
        <color rgb="FFFF0000"/>
        <rFont val="Calibri"/>
        <family val="2"/>
        <scheme val="minor"/>
      </rPr>
      <t>Note material categories recycled.</t>
    </r>
  </si>
  <si>
    <r>
      <t xml:space="preserve">36 " minimum accessible route from no step entrance to visiting area.  </t>
    </r>
    <r>
      <rPr>
        <sz val="11"/>
        <color rgb="FFFF0000"/>
        <rFont val="Calibri"/>
        <family val="2"/>
        <scheme val="minor"/>
      </rPr>
      <t>Width of narrowest point from the front door to the visiting area must be documented in the Notes column for points.</t>
    </r>
  </si>
  <si>
    <r>
      <t xml:space="preserve">36 " accessible route from no step entrance to bedroom and bathroom with minimum 32 inch door width. </t>
    </r>
    <r>
      <rPr>
        <sz val="11"/>
        <color rgb="FFFF0000"/>
        <rFont val="Calibri"/>
        <family val="2"/>
        <scheme val="minor"/>
      </rPr>
      <t xml:space="preserve"> Width of narrowest point from no-step entrance to bedroom &amp; bathroom and door widths of bedroom &amp; bathroom must be documented in the Notes column for points.</t>
    </r>
  </si>
  <si>
    <r>
      <rPr>
        <b/>
        <sz val="11"/>
        <color theme="1"/>
        <rFont val="Calibri"/>
        <family val="2"/>
        <scheme val="minor"/>
      </rPr>
      <t>Integrated pest management plan</t>
    </r>
    <r>
      <rPr>
        <sz val="11"/>
        <color theme="1"/>
        <rFont val="Calibri"/>
        <family val="2"/>
        <scheme val="minor"/>
      </rPr>
      <t xml:space="preserve"> is developed and instructions for maintenance. </t>
    </r>
    <r>
      <rPr>
        <sz val="11"/>
        <color rgb="FFFF0000"/>
        <rFont val="Calibri"/>
        <family val="2"/>
        <scheme val="minor"/>
      </rPr>
      <t xml:space="preserve"> Provide copy of document or photo to evidence compliance.</t>
    </r>
  </si>
  <si>
    <r>
      <t xml:space="preserve">(f)  All space heating </t>
    </r>
    <r>
      <rPr>
        <u/>
        <sz val="11"/>
        <color theme="1"/>
        <rFont val="Calibri"/>
        <family val="2"/>
        <scheme val="minor"/>
      </rPr>
      <t>and</t>
    </r>
    <r>
      <rPr>
        <sz val="11"/>
        <color theme="1"/>
        <rFont val="Calibri"/>
        <family val="2"/>
        <scheme val="minor"/>
      </rPr>
      <t xml:space="preserve"> space cooling is provided by system(s) that does not require air distribution ducting.  </t>
    </r>
    <r>
      <rPr>
        <sz val="11"/>
        <color rgb="FFFF0000"/>
        <rFont val="Calibri"/>
        <family val="2"/>
        <scheme val="minor"/>
      </rPr>
      <t>Verifier must describe system(s) in Notes column.</t>
    </r>
  </si>
  <si>
    <t>3.3.7</t>
  </si>
  <si>
    <r>
      <t xml:space="preserve">Air purification system.  </t>
    </r>
    <r>
      <rPr>
        <sz val="11"/>
        <color theme="1"/>
        <rFont val="Calibri"/>
        <family val="2"/>
        <scheme val="minor"/>
      </rPr>
      <t>Air purification equipment with specifications to kill at least 90% of bacteria and viruses is installed within the HVAC air distibution system or other permanently installed air distribution system and designed to treat air in the entire home.</t>
    </r>
  </si>
  <si>
    <r>
      <t>Based solely on the</t>
    </r>
    <r>
      <rPr>
        <b/>
        <sz val="14"/>
        <color theme="1"/>
        <rFont val="Calibri"/>
        <family val="2"/>
        <scheme val="minor"/>
      </rPr>
      <t xml:space="preserve"> WEiR Index</t>
    </r>
    <r>
      <rPr>
        <sz val="14"/>
        <color theme="1"/>
        <rFont val="Calibri"/>
        <family val="2"/>
        <scheme val="minor"/>
      </rPr>
      <t xml:space="preserve"> achieved, the highest certification level that can be achieved in the water efficiency section is shown.  (See Practice 2.1.1, above).</t>
    </r>
  </si>
  <si>
    <r>
      <t xml:space="preserve">Have all other required </t>
    </r>
    <r>
      <rPr>
        <b/>
        <sz val="14"/>
        <color theme="1"/>
        <rFont val="Calibri"/>
        <family val="2"/>
        <scheme val="minor"/>
      </rPr>
      <t>mandatory requirements</t>
    </r>
    <r>
      <rPr>
        <sz val="14"/>
        <color theme="1"/>
        <rFont val="Calibri"/>
        <family val="2"/>
        <scheme val="minor"/>
      </rPr>
      <t xml:space="preserve"> been satisfied (other than WEiR Index)?</t>
    </r>
  </si>
  <si>
    <r>
      <t xml:space="preserve">Have all required </t>
    </r>
    <r>
      <rPr>
        <b/>
        <sz val="14"/>
        <color theme="1"/>
        <rFont val="Calibri"/>
        <family val="2"/>
        <scheme val="minor"/>
      </rPr>
      <t>mandatory requirements</t>
    </r>
    <r>
      <rPr>
        <sz val="14"/>
        <color theme="1"/>
        <rFont val="Calibri"/>
        <family val="2"/>
        <scheme val="minor"/>
      </rPr>
      <t xml:space="preserve"> been satisfied?</t>
    </r>
  </si>
  <si>
    <t>Signature of Third-party Verifier (Electronic Signature is Okay) ----&gt;</t>
  </si>
  <si>
    <t>If so, what is the highest MERV rating that the HVAC system is 
designed for without causing HVAC performance issues? ----&gt;</t>
  </si>
  <si>
    <t>IECC Insulation
Requirements</t>
  </si>
  <si>
    <r>
      <rPr>
        <b/>
        <sz val="11"/>
        <color theme="1"/>
        <rFont val="Calibri"/>
        <family val="2"/>
        <scheme val="minor"/>
      </rPr>
      <t xml:space="preserve">Project Address: </t>
    </r>
    <r>
      <rPr>
        <sz val="8"/>
        <color rgb="FF0000FF"/>
        <rFont val="Calibri"/>
        <family val="2"/>
        <scheme val="minor"/>
      </rPr>
      <t>Enter the complete address as it should appear on the certificate.</t>
    </r>
  </si>
  <si>
    <t>PointList44</t>
  </si>
  <si>
    <t>PointList45</t>
  </si>
  <si>
    <t>A return air path shall be provided for every room with a door (i.e. return ducts or transfer grills) for forced-air heating and cooling distribution systems.  Return ducts or transfer grills are not required for bathrooms, kitchens, closets, pantries and laundry rooms.</t>
  </si>
  <si>
    <r>
      <t xml:space="preserve">All space heating </t>
    </r>
    <r>
      <rPr>
        <u/>
        <sz val="11"/>
        <color theme="1"/>
        <rFont val="Calibri"/>
        <family val="2"/>
        <scheme val="minor"/>
      </rPr>
      <t>and</t>
    </r>
    <r>
      <rPr>
        <sz val="11"/>
        <color theme="1"/>
        <rFont val="Calibri"/>
        <family val="2"/>
        <scheme val="minor"/>
      </rPr>
      <t xml:space="preserve"> space cooling is provided by system(s) that does not require air distribution ducting.</t>
    </r>
  </si>
  <si>
    <t>CertifiedGreenNM.org</t>
  </si>
  <si>
    <r>
      <rPr>
        <b/>
        <sz val="11"/>
        <color theme="1"/>
        <rFont val="Calibri"/>
        <family val="2"/>
        <scheme val="minor"/>
      </rPr>
      <t>Hard-surface flooring.  Ceramic or porcelain h</t>
    </r>
    <r>
      <rPr>
        <sz val="11"/>
        <color theme="1"/>
        <rFont val="Calibri"/>
        <family val="2"/>
        <scheme val="minor"/>
      </rPr>
      <t xml:space="preserve">ard-surface flooring is installed.  OR, hard-surface flooring that is third-party program certified to ISO Guide 65 (i.e. GREENGUARD Environmental Institute Children &amp; Schools Certification Program or Resilient Floor Covering Institute’s Floor Score Indoor Air Certification Program) is installed.  OR, if hard-surface flooring is sealed on-site, the coating meets the requirements of 3.7.6.  </t>
    </r>
    <r>
      <rPr>
        <sz val="11"/>
        <color rgb="FFFF0000"/>
        <rFont val="Calibri"/>
        <family val="2"/>
        <scheme val="minor"/>
      </rPr>
      <t xml:space="preserve">Verifier should retain copies of specification sheets in files. </t>
    </r>
  </si>
  <si>
    <r>
      <rPr>
        <sz val="11"/>
        <color rgb="FFFF0000"/>
        <rFont val="Calibri"/>
        <family val="2"/>
        <scheme val="minor"/>
      </rPr>
      <t>BGNM requires that an ACCA Manual Load calculation be performed for all certified homes and for that load calculation to be used to select space heating &amp; cooling equipment for the home.</t>
    </r>
    <r>
      <rPr>
        <sz val="11"/>
        <color theme="1"/>
        <rFont val="Calibri"/>
        <family val="2"/>
        <scheme val="minor"/>
      </rPr>
      <t xml:space="preserve">  If the load calculation is not specific for this address, a worst-case load calculation for another home of the same model may be used but the load calculation identification details must be documented in the Notes column.  </t>
    </r>
    <r>
      <rPr>
        <sz val="11"/>
        <color rgb="FFFF0000"/>
        <rFont val="Calibri"/>
        <family val="2"/>
        <scheme val="minor"/>
      </rPr>
      <t>Green Verifier is to retain copies of the load calculation and equipment sizing report for possible audit by BGNM.</t>
    </r>
  </si>
  <si>
    <t>ACCA Manual J load calculation prepared for this address?  If "No", explain in Notes and/or provide other address.  Green Verifier shall retain copy of Manual J load calculation. ----&gt;</t>
  </si>
  <si>
    <t>ACCA Manual S was used to select space hearting &amp; cooling systems? If "No", explain how equipment was selected in Notes.  Green Verifier shall retain copy of Manual S equipment sizing report, or equivalent. ----&gt;</t>
  </si>
  <si>
    <t>1.  Overall UA of Thermal Enclosure Systems</t>
  </si>
  <si>
    <t>HVAC contractor shall provide Verifier with report evidencing the MERV filtration rating limit for which the HVAC system is designed</t>
  </si>
  <si>
    <t>Certification Level:</t>
  </si>
  <si>
    <r>
      <rPr>
        <b/>
        <sz val="11"/>
        <color theme="1"/>
        <rFont val="Calibri"/>
        <family val="2"/>
        <scheme val="minor"/>
      </rPr>
      <t>HERS Index</t>
    </r>
    <r>
      <rPr>
        <sz val="11"/>
        <color theme="1"/>
        <rFont val="Calibri"/>
        <family val="2"/>
        <scheme val="minor"/>
      </rPr>
      <t xml:space="preserve"> - Final confirmed HERS Index
</t>
    </r>
  </si>
  <si>
    <t>HourlySeasonal</t>
  </si>
  <si>
    <t>Hourly</t>
  </si>
  <si>
    <t>Seasonal</t>
  </si>
  <si>
    <t>Overall UA of this As-Built Home --------------------&gt;</t>
  </si>
  <si>
    <r>
      <t xml:space="preserve">Based solely on the </t>
    </r>
    <r>
      <rPr>
        <b/>
        <sz val="14"/>
        <color theme="1"/>
        <rFont val="Calibri"/>
        <family val="2"/>
        <scheme val="minor"/>
      </rPr>
      <t>HERS Index</t>
    </r>
    <r>
      <rPr>
        <sz val="14"/>
        <color theme="1"/>
        <rFont val="Calibri"/>
        <family val="2"/>
        <scheme val="minor"/>
      </rPr>
      <t xml:space="preserve"> achieved, the highest certification level that can be achieved in the energy efficiency section is shown.  (See Practice 1.1.1 (a), above)</t>
    </r>
  </si>
  <si>
    <r>
      <t xml:space="preserve">Has the </t>
    </r>
    <r>
      <rPr>
        <b/>
        <sz val="14"/>
        <color theme="1"/>
        <rFont val="Calibri"/>
        <family val="2"/>
        <scheme val="minor"/>
      </rPr>
      <t>Overall UA requirement</t>
    </r>
    <r>
      <rPr>
        <sz val="14"/>
        <color theme="1"/>
        <rFont val="Calibri"/>
        <family val="2"/>
        <scheme val="minor"/>
      </rPr>
      <t xml:space="preserve"> of the thermal enclosure system been satisfied (per applicable IECC)?  (See Practice 1.2.1, above)</t>
    </r>
  </si>
  <si>
    <r>
      <t xml:space="preserve">(e)  Balanced HVAC airflows are demonstrated by flow hood or other acceptable flow measurement tool by a third party.
   (1) Measured flow at each supply and return register is within 25% of design flow, OR
   (2) Total airflow is within 10 percent of design flow.
</t>
    </r>
    <r>
      <rPr>
        <sz val="11"/>
        <color rgb="FFFF0000"/>
        <rFont val="Calibri"/>
        <family val="2"/>
        <scheme val="minor"/>
      </rPr>
      <t>Verifier must submit test reports evidencing compliance.</t>
    </r>
  </si>
  <si>
    <r>
      <rPr>
        <sz val="11"/>
        <color rgb="FFFF0000"/>
        <rFont val="Calibri"/>
        <family val="2"/>
        <scheme val="minor"/>
      </rPr>
      <t>BGNM requires that an ACCA Manual D duct design be used for the design of space heating and/or cooling systems when air is used as the distribution system.</t>
    </r>
    <r>
      <rPr>
        <sz val="11"/>
        <color theme="1"/>
        <rFont val="Calibri"/>
        <family val="2"/>
        <scheme val="minor"/>
      </rPr>
      <t xml:space="preserve">  For space heating &amp; cooling systems using hydronic distribution, BGNM requires use of a heating and/or cooling distribution system design following appropriate industry guidelines and practices.</t>
    </r>
  </si>
  <si>
    <r>
      <t xml:space="preserve">All forced air space heating and space cooling duct distribution systems shall be air-sealed.  All duct sealing materials shall be in conformance with UL 181A or UL181B specifications and shall be installed in accordance with manufacturer's instructions.  </t>
    </r>
    <r>
      <rPr>
        <b/>
        <sz val="11"/>
        <color theme="1"/>
        <rFont val="Calibri"/>
        <family val="2"/>
        <scheme val="minor"/>
      </rPr>
      <t>MANDATORY</t>
    </r>
  </si>
  <si>
    <t>ACCA Manual D, or other industry-approved method, was used 
for the design of space heating &amp; cooling distribution system 
for this home?  If, "No" explain in Notes column. ----&gt;</t>
  </si>
  <si>
    <r>
      <t xml:space="preserve">Balanced HVAC airflows are demonstrated by flow hood or other acceptable flow measurement tool by a third party.
   (1) Measured flow at each supply and return register is within 25% of design flow, OR
   (2) Total airflow is within 10 percent of design flow.
</t>
    </r>
    <r>
      <rPr>
        <sz val="11"/>
        <color rgb="FFFF0000"/>
        <rFont val="Calibri"/>
        <family val="2"/>
        <scheme val="minor"/>
      </rPr>
      <t>Verifier must submit test reports evidencing compliance.</t>
    </r>
  </si>
  <si>
    <t xml:space="preserve">Has a label been applied on the air handler unit or at the location of the air filter to inform the highest MERV filter rating that the system is designed for without causing HVAC performance issues? ----&gt; </t>
  </si>
  <si>
    <t>Air handler settings and fan speed(s) are set in accordance with manufacturer's instructions.</t>
  </si>
  <si>
    <t>HVAC contractor determined that air handler fan settings were set in accordance with the manufacturer's instructions? ----&gt;</t>
  </si>
  <si>
    <t>(d)  Air handler settings and fan speed(s) are set in accordance with manufacturer's instructions.</t>
  </si>
  <si>
    <t>MERVRating</t>
  </si>
  <si>
    <t>7</t>
  </si>
  <si>
    <t>8</t>
  </si>
  <si>
    <t>9</t>
  </si>
  <si>
    <t>10</t>
  </si>
  <si>
    <r>
      <rPr>
        <b/>
        <sz val="11"/>
        <color theme="1"/>
        <rFont val="Calibri"/>
        <family val="2"/>
        <scheme val="minor"/>
      </rPr>
      <t>HVAC system designed for enhanced air filtation.</t>
    </r>
    <r>
      <rPr>
        <sz val="11"/>
        <color theme="1"/>
        <rFont val="Calibri"/>
        <family val="2"/>
        <scheme val="minor"/>
      </rPr>
      <t xml:space="preserve">  Assurance that HVAC air handler and duct dessign can effectively provide design air flows and distribution with pressure drops using more restrictive air filters with higher MERV ratings.</t>
    </r>
  </si>
  <si>
    <r>
      <rPr>
        <b/>
        <sz val="11"/>
        <color theme="1"/>
        <rFont val="Calibri"/>
        <family val="2"/>
        <scheme val="minor"/>
      </rPr>
      <t>Enhanced HVAC air filtration.</t>
    </r>
    <r>
      <rPr>
        <sz val="11"/>
        <color theme="1"/>
        <rFont val="Calibri"/>
        <family val="2"/>
        <scheme val="minor"/>
      </rPr>
      <t xml:space="preserve">  Enhanced air filtration is installed with an HVAC air handler unit (AHU) and duct design that can effectively provide design air flows and distribution with pressure drops of the higher MERV air filtration. </t>
    </r>
    <r>
      <rPr>
        <sz val="11"/>
        <color rgb="FFFF0000"/>
        <rFont val="Calibri"/>
        <family val="2"/>
        <scheme val="minor"/>
      </rPr>
      <t xml:space="preserve"> If the MERV filter does not have the MERV rating labeled on the filter, the verifier must provide a photo of the MERV filter and describe in the Notes column how the MERV rating was determined.</t>
    </r>
  </si>
  <si>
    <t>Does the design of the HVAC system take into account increased 
duct pressure drops and reduced air flows resulting from more 
restrictive air flows with MERV filter Ratings of at least MERV 8? ----&gt;</t>
  </si>
  <si>
    <r>
      <rPr>
        <b/>
        <sz val="11"/>
        <color theme="1"/>
        <rFont val="Calibri"/>
        <family val="2"/>
        <scheme val="minor"/>
      </rPr>
      <t>(b) Label for Maximum MERV Filter Rating</t>
    </r>
    <r>
      <rPr>
        <sz val="11"/>
        <color theme="1"/>
        <rFont val="Calibri"/>
        <family val="2"/>
        <scheme val="minor"/>
      </rPr>
      <t xml:space="preserve"> - Has a label been applied on the AHU or at the location of the air filter to inform the highest MERV filter rating that the system is designed for without causing HVAC performance issues?</t>
    </r>
  </si>
  <si>
    <t>2, If BOTH (a) &amp; (b) are "Yes"</t>
  </si>
  <si>
    <t>(a)  Exhaust or supply only system tested and meeting ASHRAE 62.2 whole-house ventilation requirements described above, OR</t>
  </si>
  <si>
    <r>
      <t xml:space="preserve">Location for sorting of scrap and recycling of materials is provided.  </t>
    </r>
    <r>
      <rPr>
        <sz val="11"/>
        <color rgb="FFFF0000"/>
        <rFont val="Calibri"/>
        <family val="2"/>
        <scheme val="minor"/>
      </rPr>
      <t>Provide photos at rough inspection of any recycling efforts.</t>
    </r>
  </si>
  <si>
    <r>
      <t>Cabinets.</t>
    </r>
    <r>
      <rPr>
        <sz val="11"/>
        <color theme="1"/>
        <rFont val="Calibri"/>
        <family val="2"/>
        <scheme val="minor"/>
      </rPr>
      <t xml:space="preserve">  A minimum of 85% of installed cabinets are in accordance with one or both of the following:  </t>
    </r>
    <r>
      <rPr>
        <sz val="11"/>
        <color rgb="FFFF0000"/>
        <rFont val="Calibri"/>
        <family val="2"/>
        <scheme val="minor"/>
      </rPr>
      <t>Provide photo of KCMA ESP (Environmental Stewardship Program) label or describe how cabinetry complies with requirements of this practice.</t>
    </r>
  </si>
  <si>
    <t>(b)  Composite wood used in wood cabinets is certified by KCMA ESP program, or an equivalent program, evidencing very low or no formaldehyde emissions.</t>
  </si>
  <si>
    <t>DOE Benchmark Home Size -----&gt;</t>
  </si>
  <si>
    <r>
      <t>D.O.E. Benchmark Home Size Adjustment:</t>
    </r>
    <r>
      <rPr>
        <sz val="11"/>
        <color theme="1"/>
        <rFont val="Calibri"/>
        <family val="2"/>
        <scheme val="minor"/>
      </rPr>
      <t xml:space="preserve">  The DOE benchmark home size is based on the number of bedrooms &amp; CFA of home.  BGNM awards or penalizes building home sizes at 1 point for each 300 square feet above or below the DOE Benchmark Home Size criteria.  Points are automatically calculated in the spreadsheet.</t>
    </r>
  </si>
  <si>
    <r>
      <rPr>
        <sz val="11"/>
        <color rgb="FFFF0000"/>
        <rFont val="Calibri"/>
        <family val="2"/>
        <scheme val="minor"/>
      </rPr>
      <t>Verifier must provide photos showing front, rear and sides of home showing as much of landscaping and home as possible, and lists of predominant regionally-appropriate plants used in the landscape in the Notes below if points are taken for this practice.  List 5 most dominant plants in the landscape (turf &amp; trees at the top)</t>
    </r>
    <r>
      <rPr>
        <sz val="11"/>
        <color theme="1"/>
        <rFont val="Calibri"/>
        <family val="2"/>
        <scheme val="minor"/>
      </rPr>
      <t xml:space="preserve">.  Compliant plants can be found at http://wuc.ose.state.nm.us/Plants/.  </t>
    </r>
  </si>
  <si>
    <r>
      <rPr>
        <b/>
        <sz val="11"/>
        <color theme="1"/>
        <rFont val="Calibri"/>
        <family val="2"/>
        <scheme val="minor"/>
      </rPr>
      <t>Landscape Plants.</t>
    </r>
    <r>
      <rPr>
        <sz val="11"/>
        <color theme="1"/>
        <rFont val="Calibri"/>
        <family val="2"/>
        <scheme val="minor"/>
      </rPr>
      <t xml:space="preserve">  At least 80% (by area) of plants installed in the landscape, including turf grass, shrubs, trees and all other plants, must be appropriate for the region as determined by the local water authority or be on the plant list issued by the State Engineer's office at http://wuc.ose.state.nm.us/Plants/ (Vegetable gardens and fruit trees exempt).  </t>
    </r>
    <r>
      <rPr>
        <sz val="11"/>
        <color rgb="FFFF0000"/>
        <rFont val="Calibri"/>
        <family val="2"/>
        <scheme val="minor"/>
      </rPr>
      <t>Photos are required showing front, rear &amp; sides of home including as much landscaping and home as possible.</t>
    </r>
  </si>
  <si>
    <t>CALCULATIONS FOR ENERGY CERTIFICATION LEVEL (BASED SOLELY ON HERS INDEX)</t>
  </si>
  <si>
    <t>HERSIndex &lt; 44 - Emerald</t>
  </si>
  <si>
    <t>HERSIndex &lt; 45 - Emerald</t>
  </si>
  <si>
    <r>
      <t xml:space="preserve">Burner is set to fire at input level listed on nameplate (combustion equipment).  </t>
    </r>
    <r>
      <rPr>
        <b/>
        <sz val="11"/>
        <color theme="1"/>
        <rFont val="Calibri"/>
        <family val="2"/>
        <scheme val="minor"/>
      </rPr>
      <t>MANDATORY</t>
    </r>
  </si>
  <si>
    <t>Clearly describe passive cooling design elements and orientation of fenestration below:</t>
  </si>
  <si>
    <t>Clearly describe passive heating design elements and orientation of fenestration below:</t>
  </si>
  <si>
    <r>
      <rPr>
        <b/>
        <sz val="11"/>
        <color theme="1"/>
        <rFont val="Calibri"/>
        <family val="2"/>
        <scheme val="minor"/>
      </rPr>
      <t xml:space="preserve">Structural plywood. </t>
    </r>
    <r>
      <rPr>
        <sz val="11"/>
        <color theme="1"/>
        <rFont val="Calibri"/>
        <family val="2"/>
        <scheme val="minor"/>
      </rPr>
      <t xml:space="preserve"> Structural plywood used for floor, wall, and/or roof sheathing is compliant with DOC PS1 and/or DOC PS 2.  OSB used for floor, wall, and/or roof sheathing is compliant with DOC PS 2.  The panels are made with moisture-resistant adhesives.  The trademark indicates these adhesives as follows:  Exposure 1 or Exterior for plywood, and Exposure 1 for OSB.</t>
    </r>
  </si>
  <si>
    <r>
      <rPr>
        <b/>
        <sz val="11"/>
        <color theme="1"/>
        <rFont val="Calibri"/>
        <family val="2"/>
        <scheme val="minor"/>
      </rPr>
      <t>No step entrance</t>
    </r>
    <r>
      <rPr>
        <sz val="11"/>
        <color theme="1"/>
        <rFont val="Calibri"/>
        <family val="2"/>
        <scheme val="minor"/>
      </rPr>
      <t xml:space="preserve"> with minimum 32 inch wide clearance.</t>
    </r>
  </si>
  <si>
    <r>
      <rPr>
        <b/>
        <sz val="11"/>
        <color theme="1"/>
        <rFont val="Calibri"/>
        <family val="2"/>
        <scheme val="minor"/>
      </rPr>
      <t>Blocking for grab bars</t>
    </r>
    <r>
      <rPr>
        <sz val="11"/>
        <color theme="1"/>
        <rFont val="Calibri"/>
        <family val="2"/>
        <scheme val="minor"/>
      </rPr>
      <t xml:space="preserve"> for accessible bathroom is provided. </t>
    </r>
    <r>
      <rPr>
        <sz val="11"/>
        <color rgb="FFFF0000"/>
        <rFont val="Calibri"/>
        <family val="2"/>
        <scheme val="minor"/>
      </rPr>
      <t xml:space="preserve"> Provide photo of blocking at rough inspection or of grab bars installed at final inspection.</t>
    </r>
  </si>
  <si>
    <t>HIDDEN CELLS BELOW ARE SOME FORMULAS FOR THIS SHEET -- MUST CHANGE FORMAT FROM RED TEXT AND RED FILL TO SEE THE INFORMATION</t>
  </si>
  <si>
    <r>
      <t xml:space="preserve">Building cavities shall not be used as supply or return ducts.  Industry-approved duct materials shall be used to minimize leakage of conditioned air.  This includes plenums such as platforms under forced air systems for return air.  All such cavities shall be lined and sealed with appropriate duct materials.  </t>
    </r>
    <r>
      <rPr>
        <sz val="11"/>
        <color rgb="FFFF0000"/>
        <rFont val="Calibri"/>
        <family val="2"/>
        <scheme val="minor"/>
      </rPr>
      <t>Verifier to provide photo of return air plenum at rough showing proper duct materials.</t>
    </r>
    <r>
      <rPr>
        <sz val="11"/>
        <color theme="1"/>
        <rFont val="Calibri"/>
        <family val="2"/>
        <scheme val="minor"/>
      </rPr>
      <t xml:space="preserve">  </t>
    </r>
    <r>
      <rPr>
        <b/>
        <sz val="11"/>
        <color theme="1"/>
        <rFont val="Calibri"/>
        <family val="2"/>
        <scheme val="minor"/>
      </rPr>
      <t>MANDATORY</t>
    </r>
  </si>
  <si>
    <t>1.3.3 (b)</t>
  </si>
  <si>
    <t>SBTCBroadband</t>
  </si>
  <si>
    <t>Home verified as 'broadband ready" by BGNM Verifier</t>
  </si>
  <si>
    <t>Home is not verified as "broadband ready" by BGNM Verifier</t>
  </si>
  <si>
    <t>SBTCEV</t>
  </si>
  <si>
    <t>Home verified as 'electrical vehicle ready" by BGNM Verifier</t>
  </si>
  <si>
    <t>Home is not verified as "electrical vehicle ready" by BGNM Verifier</t>
  </si>
  <si>
    <t>SBTCFullyElectric</t>
  </si>
  <si>
    <t>Home verified as 'fully electric building" by BGNM Verifier</t>
  </si>
  <si>
    <t>Home is not verified as "fully electric building" by BGNM Verifier</t>
  </si>
  <si>
    <t>Hildago</t>
  </si>
  <si>
    <t>Mora</t>
  </si>
  <si>
    <t>Counties</t>
  </si>
  <si>
    <t>Counties2</t>
  </si>
  <si>
    <t>EquipType</t>
  </si>
  <si>
    <t>Natural draft</t>
  </si>
  <si>
    <t>Direct vent</t>
  </si>
  <si>
    <t>Power vent</t>
  </si>
  <si>
    <t>Electric</t>
  </si>
  <si>
    <t>Other (see Note)</t>
  </si>
  <si>
    <t>NatDraftEquipLoc</t>
  </si>
  <si>
    <t>In Compliant Mechanical Room</t>
  </si>
  <si>
    <t>ACCA_D1</t>
  </si>
  <si>
    <t>YesOrNoOrNA</t>
  </si>
  <si>
    <r>
      <t xml:space="preserve">(b) If any </t>
    </r>
    <r>
      <rPr>
        <b/>
        <sz val="11"/>
        <rFont val="Calibri"/>
        <family val="2"/>
        <scheme val="minor"/>
      </rPr>
      <t>natural draft</t>
    </r>
    <r>
      <rPr>
        <sz val="11"/>
        <rFont val="Calibri"/>
        <family val="2"/>
        <scheme val="minor"/>
      </rPr>
      <t xml:space="preserve"> furnaces, boilers or water heaters are installed in conditioned spaces of the home, are they all located in a sealed mechanical room that has an outdoor air source?</t>
    </r>
  </si>
  <si>
    <r>
      <rPr>
        <b/>
        <sz val="11"/>
        <color theme="1"/>
        <rFont val="Calibri"/>
        <family val="2"/>
        <scheme val="minor"/>
      </rPr>
      <t>Return ductwork and air handling equipment is not located in the garage</t>
    </r>
    <r>
      <rPr>
        <sz val="11"/>
        <color theme="1"/>
        <rFont val="Calibri"/>
        <family val="2"/>
        <scheme val="minor"/>
      </rPr>
      <t xml:space="preserve"> unless placed in sealed mechanical room that has an outdoor air source.</t>
    </r>
  </si>
  <si>
    <r>
      <rPr>
        <b/>
        <sz val="11"/>
        <rFont val="Calibri"/>
        <family val="2"/>
        <scheme val="minor"/>
      </rPr>
      <t>Space Heat and Water Heating locations.</t>
    </r>
    <r>
      <rPr>
        <sz val="11"/>
        <rFont val="Calibri"/>
        <family val="2"/>
        <scheme val="minor"/>
      </rPr>
      <t xml:space="preserve">  </t>
    </r>
    <r>
      <rPr>
        <b/>
        <sz val="11"/>
        <rFont val="Calibri"/>
        <family val="2"/>
        <scheme val="minor"/>
      </rPr>
      <t>Natural draft</t>
    </r>
    <r>
      <rPr>
        <sz val="11"/>
        <rFont val="Calibri"/>
        <family val="2"/>
        <scheme val="minor"/>
      </rPr>
      <t xml:space="preserve"> furnaces, boilers and water heaters located in conditioned space shall be in a sealed mechanical room that has an outdoor air source that is sealed and insulated from the conditioned space</t>
    </r>
    <r>
      <rPr>
        <sz val="11"/>
        <color theme="1"/>
        <rFont val="Calibri"/>
        <family val="2"/>
        <scheme val="minor"/>
      </rPr>
      <t>.</t>
    </r>
  </si>
  <si>
    <r>
      <t>(a) Are any air handling units or return air ducts for</t>
    </r>
    <r>
      <rPr>
        <b/>
        <sz val="11"/>
        <rFont val="Calibri"/>
        <family val="2"/>
        <scheme val="minor"/>
      </rPr>
      <t xml:space="preserve"> ANY</t>
    </r>
    <r>
      <rPr>
        <sz val="11"/>
        <rFont val="Calibri"/>
        <family val="2"/>
        <scheme val="minor"/>
      </rPr>
      <t xml:space="preserve"> combustion equipment used for space heating located in a garage?</t>
    </r>
  </si>
  <si>
    <t>Are all of the following equipment &amp; appliances in the home electric -- space heating, space cooling, water heating (including pools &amp; spas), cooking appliances, and clothes drying appliances?</t>
  </si>
  <si>
    <t>Has the home been verified to have no gas or propane piping in the home?</t>
  </si>
  <si>
    <t>Has the home been verified to have no gas or propane service piping stubbed out to the home?</t>
  </si>
  <si>
    <t>PointList46</t>
  </si>
  <si>
    <t>Describe hot water recirculation system below.  If the demand hot water recirculation is controlled by a button switch inside a cabinet (or similar), it should be labeled to identify it as a switch to control the demand hot water recirculation system.  If there is no recirculation system, state that in Note below.</t>
  </si>
  <si>
    <t>Maximum BGNM certification level achievable
based solely on confirmed HERS Index.</t>
  </si>
  <si>
    <r>
      <rPr>
        <b/>
        <sz val="11"/>
        <color theme="1"/>
        <rFont val="Calibri"/>
        <family val="2"/>
        <scheme val="minor"/>
      </rPr>
      <t xml:space="preserve">Broadband Ready </t>
    </r>
    <r>
      <rPr>
        <b/>
        <sz val="11"/>
        <color rgb="FFFF0000"/>
        <rFont val="Calibri"/>
        <family val="2"/>
        <scheme val="minor"/>
      </rPr>
      <t>(REQUIRED FOR 2021 SBTC)</t>
    </r>
    <r>
      <rPr>
        <sz val="11"/>
        <color theme="1"/>
        <rFont val="Calibri"/>
        <family val="2"/>
        <scheme val="minor"/>
      </rPr>
      <t xml:space="preserve"> - a building with an internet connection capable of connecting to a broadband provider.  Note that the NM 2021 Sustainable Building Tax Credit requires all buildings must be "broadband ready' to qualify for the 2021 Sustainable Building Tax Credit.</t>
    </r>
  </si>
  <si>
    <t>HVACDucts</t>
  </si>
  <si>
    <r>
      <t xml:space="preserve">Not Applicable </t>
    </r>
    <r>
      <rPr>
        <sz val="11"/>
        <color rgb="FFFF0000"/>
        <rFont val="Calibri"/>
        <family val="2"/>
        <scheme val="minor"/>
      </rPr>
      <t>(See Note)</t>
    </r>
  </si>
  <si>
    <r>
      <t xml:space="preserve">DATA INPUT
</t>
    </r>
    <r>
      <rPr>
        <sz val="11"/>
        <color theme="1"/>
        <rFont val="Calibri"/>
        <family val="2"/>
        <scheme val="minor"/>
      </rPr>
      <t xml:space="preserve">Cells with this background color &amp; </t>
    </r>
    <r>
      <rPr>
        <b/>
        <sz val="11"/>
        <color rgb="FFFF0000"/>
        <rFont val="Calibri"/>
        <family val="2"/>
        <scheme val="minor"/>
      </rPr>
      <t>red</t>
    </r>
    <r>
      <rPr>
        <sz val="11"/>
        <color theme="1"/>
        <rFont val="Calibri"/>
        <family val="2"/>
        <scheme val="minor"/>
      </rPr>
      <t xml:space="preserve"> cells are data input cells</t>
    </r>
  </si>
  <si>
    <r>
      <t>May qualify for $1/ft</t>
    </r>
    <r>
      <rPr>
        <b/>
        <vertAlign val="superscript"/>
        <sz val="10"/>
        <color theme="0"/>
        <rFont val="Calibri"/>
        <family val="2"/>
        <scheme val="minor"/>
      </rPr>
      <t>2</t>
    </r>
    <r>
      <rPr>
        <b/>
        <sz val="10"/>
        <color theme="0"/>
        <rFont val="Calibri"/>
        <family val="2"/>
        <scheme val="minor"/>
      </rPr>
      <t xml:space="preserve"> additional 2021 SBTC</t>
    </r>
  </si>
  <si>
    <t>Mandatory
1</t>
  </si>
  <si>
    <t>Mandatory
3</t>
  </si>
  <si>
    <t>Describe below how the home satisfied whole building  ventilation requirements of ASHRAE 62.2.</t>
  </si>
  <si>
    <r>
      <rPr>
        <b/>
        <sz val="11"/>
        <color theme="1"/>
        <rFont val="Calibri"/>
        <family val="2"/>
        <scheme val="minor"/>
      </rPr>
      <t>Fully Electric Building</t>
    </r>
    <r>
      <rPr>
        <sz val="11"/>
        <color theme="1"/>
        <rFont val="Calibri"/>
        <family val="2"/>
        <scheme val="minor"/>
      </rPr>
      <t xml:space="preserve"> - a building that uses a permanent supply of electricity as the source of energy for all space heating, water heating, including pools and spas, cooking appliances and clothes drying appliances and has no natural gas or propane plumbing installed in the building. </t>
    </r>
    <r>
      <rPr>
        <sz val="11"/>
        <color theme="9" tint="-0.249977111117893"/>
        <rFont val="Calibri"/>
        <family val="2"/>
        <scheme val="minor"/>
      </rPr>
      <t xml:space="preserve"> Note that the NM 2021 Sustainable Building Tax Credit does not require fully electric buildings but awards $1.00 per square foot additional tax credit for fully electric buildings.</t>
    </r>
  </si>
  <si>
    <t>Hands free faucets installed in kitchen and lavatories.</t>
  </si>
  <si>
    <r>
      <rPr>
        <b/>
        <sz val="11"/>
        <color theme="1"/>
        <rFont val="Calibri"/>
        <family val="2"/>
        <scheme val="minor"/>
      </rPr>
      <t>Gas fireplaces</t>
    </r>
    <r>
      <rPr>
        <sz val="11"/>
        <color theme="1"/>
        <rFont val="Calibri"/>
        <family val="2"/>
        <scheme val="minor"/>
      </rPr>
      <t xml:space="preserve"> are direct vented and have permanently fixed glass fronts or gasketed doors and comply with CSA ANSI Z21.88 or CSA ANSI Z21.50b / CSA 2.22b.</t>
    </r>
  </si>
  <si>
    <r>
      <rPr>
        <b/>
        <sz val="11"/>
        <color theme="1"/>
        <rFont val="Calibri"/>
        <family val="2"/>
        <scheme val="minor"/>
      </rPr>
      <t>Manufactured fireplaces, wood stoves and pellet stoves</t>
    </r>
    <r>
      <rPr>
        <sz val="11"/>
        <color theme="1"/>
        <rFont val="Calibri"/>
        <family val="2"/>
        <scheme val="minor"/>
      </rPr>
      <t xml:space="preserve"> are in compliance with appropriate requirements and follow emission requirements of the EPA per their category.</t>
    </r>
  </si>
  <si>
    <r>
      <rPr>
        <b/>
        <sz val="11"/>
        <color theme="1"/>
        <rFont val="Calibri"/>
        <family val="2"/>
        <scheme val="minor"/>
      </rPr>
      <t>Documented location of all shut-offs</t>
    </r>
    <r>
      <rPr>
        <sz val="11"/>
        <color theme="1"/>
        <rFont val="Calibri"/>
        <family val="2"/>
        <scheme val="minor"/>
      </rPr>
      <t xml:space="preserve"> for utilities.  </t>
    </r>
    <r>
      <rPr>
        <sz val="11"/>
        <color rgb="FFFF0000"/>
        <rFont val="Calibri"/>
        <family val="2"/>
        <scheme val="minor"/>
      </rPr>
      <t>Provide copy of Homeowner's Manual or photo of relevant page in the manual describing the location of all utility shutoffs -- electricity, gas &amp; water.</t>
    </r>
  </si>
  <si>
    <r>
      <t xml:space="preserve">Maintenance checklist. </t>
    </r>
    <r>
      <rPr>
        <sz val="11"/>
        <color rgb="FFFF0000"/>
        <rFont val="Calibri"/>
        <family val="2"/>
        <scheme val="minor"/>
      </rPr>
      <t xml:space="preserve"> Provide copy of Homeowner's Manual or photo(s) of relevant page(s) in the manual of the maintenance checklist.</t>
    </r>
  </si>
  <si>
    <t>4.4 - Sustainable Building Products, Renewable and Engineered Products, Recycling</t>
  </si>
  <si>
    <t>4.4.6</t>
  </si>
  <si>
    <t xml:space="preserve">(a)  SVGW used in landscape areas.  Such products could be latilla fencing, mulch in landscape areas or other landscape-related materials.  (Should not be a minor component) </t>
  </si>
  <si>
    <t>For each of the categories below, Verifier must provide photos of SVGW products used, and evidence that the products are SVGW-certified.</t>
  </si>
  <si>
    <t>1 Point per Room/Area Up to 3 Points</t>
  </si>
  <si>
    <t>PointList47</t>
  </si>
  <si>
    <t>Practice 2.4.1 Automatic Water Shutoff Device - Must provide photo to award points</t>
  </si>
  <si>
    <t>Practice 2.4.2 Water Softener - Must provide photo to award points</t>
  </si>
  <si>
    <t>Practice 2.4.3 Drinking Water Treatment System - Must provide photo of device and certification label to award points</t>
  </si>
  <si>
    <t>Practice 2.4.5 Water Shutoff Mechanism on Showerheads - Must provide photos to award points</t>
  </si>
  <si>
    <t>Practice 2.4.6 Water Treatment Backflush Beneficially Used - Must provide photo to award points</t>
  </si>
  <si>
    <t>Practice 2.4.7 Water Use Monitoring System - Must provide photo to award points.</t>
  </si>
  <si>
    <t>Practice 2.4.8 Grey Water Stubout - Must provide photo to award points</t>
  </si>
  <si>
    <t>Practice 2.4.9 Purple Pipe Stubout - Must provide photo to award points</t>
  </si>
  <si>
    <t>Practice 2.4.10 Water Leak Test - Must provide photos to award points</t>
  </si>
  <si>
    <r>
      <t xml:space="preserve">Number of compliant product categories </t>
    </r>
    <r>
      <rPr>
        <b/>
        <sz val="10"/>
        <color theme="1"/>
        <rFont val="Calibri"/>
        <family val="2"/>
      </rPr>
      <t>↓</t>
    </r>
  </si>
  <si>
    <t>NOT in Compliant Mechanical Room</t>
  </si>
  <si>
    <t>ACCA-D2</t>
  </si>
  <si>
    <t>Other (see Notes)</t>
  </si>
  <si>
    <t>NatDraftEquipLoc2</t>
  </si>
  <si>
    <t>No Natural Draft Equipment</t>
  </si>
  <si>
    <t>PointList48</t>
  </si>
  <si>
    <t>Compliant Gas Fireplace(s) Installed</t>
  </si>
  <si>
    <t>No Gas Fireplaces Installed</t>
  </si>
  <si>
    <t>NON-COMPLIANT Gas Fireplace(s) Installed</t>
  </si>
  <si>
    <t>(b)  SVGW used in residential building.  Such products could be components (either inside or outside) such as vigas, beams, posts, latillas, etc. used for structural or design purposes.   (Should not be a minor component)</t>
  </si>
  <si>
    <r>
      <t xml:space="preserve">Air purification system.  </t>
    </r>
    <r>
      <rPr>
        <sz val="11"/>
        <color theme="1"/>
        <rFont val="Calibri"/>
        <family val="2"/>
        <scheme val="minor"/>
      </rPr>
      <t xml:space="preserve">Air purification equipment with specifications to kill at least 95% of bacteria and viruses is installed within the HVAC air distribution system or other permanently installed air distribution system and designed to treat air in the entire home.  </t>
    </r>
    <r>
      <rPr>
        <sz val="11"/>
        <color rgb="FFFF0000"/>
        <rFont val="Calibri"/>
        <family val="2"/>
        <scheme val="minor"/>
      </rPr>
      <t>Verifier must submit specification sheet and photo to award points.</t>
    </r>
    <r>
      <rPr>
        <sz val="11"/>
        <color theme="1"/>
        <rFont val="Calibri"/>
        <family val="2"/>
        <scheme val="minor"/>
      </rPr>
      <t xml:space="preserve">  See example of such equipment at https://www.carrier.com/residential/en/us/infinity-air-purifier/.</t>
    </r>
  </si>
  <si>
    <t>1.6.4</t>
  </si>
  <si>
    <t>Not Tested</t>
  </si>
  <si>
    <t>PointList49</t>
  </si>
  <si>
    <r>
      <rPr>
        <b/>
        <sz val="11"/>
        <color theme="1"/>
        <rFont val="Calibri"/>
        <family val="2"/>
        <scheme val="minor"/>
      </rPr>
      <t>Wood Materials.</t>
    </r>
    <r>
      <rPr>
        <sz val="11"/>
        <color theme="1"/>
        <rFont val="Calibri"/>
        <family val="2"/>
        <scheme val="minor"/>
      </rPr>
      <t xml:space="preserve">  For each product group below, a minimum of 85% of material within the product group is manufactured in accordance with the following requirements for the wood product groups:
  </t>
    </r>
    <r>
      <rPr>
        <sz val="11"/>
        <color theme="1"/>
        <rFont val="Calibri"/>
        <family val="2"/>
      </rPr>
      <t>•</t>
    </r>
    <r>
      <rPr>
        <sz val="10.45"/>
        <color theme="1"/>
        <rFont val="Calibri"/>
        <family val="2"/>
      </rPr>
      <t xml:space="preserve">  </t>
    </r>
    <r>
      <rPr>
        <sz val="11"/>
        <color theme="1"/>
        <rFont val="Calibri"/>
        <family val="2"/>
        <scheme val="minor"/>
      </rPr>
      <t xml:space="preserve">Particleboard and MDF (medium density fiberboard) is manufactured and  labeled in accordance with CPA A208.1 and CPA A208.2, respectively.
  </t>
    </r>
    <r>
      <rPr>
        <sz val="11"/>
        <color theme="1"/>
        <rFont val="Calibri"/>
        <family val="2"/>
      </rPr>
      <t xml:space="preserve">• </t>
    </r>
    <r>
      <rPr>
        <sz val="10.45"/>
        <color theme="1"/>
        <rFont val="Calibri"/>
        <family val="2"/>
      </rPr>
      <t xml:space="preserve"> </t>
    </r>
    <r>
      <rPr>
        <sz val="11"/>
        <color theme="1"/>
        <rFont val="Calibri"/>
        <family val="2"/>
        <scheme val="minor"/>
      </rPr>
      <t xml:space="preserve">Hardwood plywood in accordance with HPVA HP-1.
  </t>
    </r>
    <r>
      <rPr>
        <sz val="11"/>
        <color theme="1"/>
        <rFont val="Calibri"/>
        <family val="2"/>
      </rPr>
      <t xml:space="preserve">•  </t>
    </r>
    <r>
      <rPr>
        <sz val="11"/>
        <color theme="1"/>
        <rFont val="Calibri"/>
        <family val="2"/>
        <scheme val="minor"/>
      </rPr>
      <t xml:space="preserve">Particleboard, MDF, or hardwood plywood is in accordance with CPA4.
  </t>
    </r>
    <r>
      <rPr>
        <sz val="11"/>
        <color theme="1"/>
        <rFont val="Calibri"/>
        <family val="2"/>
      </rPr>
      <t>•</t>
    </r>
    <r>
      <rPr>
        <sz val="10.45"/>
        <color theme="1"/>
        <rFont val="Calibri"/>
        <family val="2"/>
      </rPr>
      <t xml:space="preserve">  </t>
    </r>
    <r>
      <rPr>
        <sz val="11"/>
        <color theme="1"/>
        <rFont val="Calibri"/>
        <family val="2"/>
        <scheme val="minor"/>
      </rPr>
      <t xml:space="preserve">Composite wood or agrifiber panel products contain no added urea-formaldehyde or are in accordance with the CARB Composite Wood Air Toxic Contaminant Measure Standard.
  </t>
    </r>
    <r>
      <rPr>
        <sz val="11"/>
        <color theme="1"/>
        <rFont val="Calibri"/>
        <family val="2"/>
      </rPr>
      <t>•</t>
    </r>
    <r>
      <rPr>
        <sz val="10.45"/>
        <color theme="1"/>
        <rFont val="Calibri"/>
        <family val="2"/>
      </rPr>
      <t xml:space="preserve">  </t>
    </r>
    <r>
      <rPr>
        <sz val="11"/>
        <color theme="1"/>
        <rFont val="Calibri"/>
        <family val="2"/>
        <scheme val="minor"/>
      </rPr>
      <t>Non-emitting products.  
Verifier shall retain photos of products and specification labels or specification sheets.</t>
    </r>
  </si>
  <si>
    <r>
      <rPr>
        <b/>
        <sz val="11"/>
        <color theme="1"/>
        <rFont val="Calibri"/>
        <family val="2"/>
        <scheme val="minor"/>
      </rPr>
      <t xml:space="preserve">Drinking water treatment system.  </t>
    </r>
    <r>
      <rPr>
        <sz val="11"/>
        <color theme="1"/>
        <rFont val="Calibri"/>
        <family val="2"/>
        <scheme val="minor"/>
      </rPr>
      <t xml:space="preserve">System must be NSF/ANSI certified with a minimum efficiency rating of 85%.  </t>
    </r>
    <r>
      <rPr>
        <sz val="11"/>
        <color rgb="FFFF0000"/>
        <rFont val="Calibri"/>
        <family val="2"/>
        <scheme val="minor"/>
      </rPr>
      <t>Must provide photos of devices and certification labels.</t>
    </r>
  </si>
  <si>
    <t>25% Savings Indoor</t>
  </si>
  <si>
    <t>Whole home Ventilation and Leakage Testing   BGNM Envelope Checklist</t>
  </si>
  <si>
    <t>Additional Photos</t>
  </si>
  <si>
    <t>Exterior Photos</t>
  </si>
  <si>
    <t>Photos</t>
  </si>
  <si>
    <t>PDF</t>
  </si>
  <si>
    <t>Air leakage in all NM Climate Zones shall not exceed 3 ACH @ 50 Pa (Rater to complete and attach PDF of Air Leakage Report</t>
  </si>
  <si>
    <t>HERS Certificate</t>
  </si>
  <si>
    <t>CZ 5+</t>
  </si>
  <si>
    <t>BGNM Emerald</t>
  </si>
  <si>
    <t>BGNM Gold</t>
  </si>
  <si>
    <t>Step 2</t>
  </si>
  <si>
    <t>Step 1</t>
  </si>
  <si>
    <t>(from '3 Project Information' page)</t>
  </si>
  <si>
    <t>Contact Persons</t>
  </si>
  <si>
    <t>Other Certification Paths</t>
  </si>
  <si>
    <t>HVAC Designer</t>
  </si>
  <si>
    <t>HVAC Contractor</t>
  </si>
  <si>
    <t>Project Address</t>
  </si>
  <si>
    <t>Is this for a permit reissue?  IF so Address of original.</t>
  </si>
  <si>
    <t>What software was used for this report</t>
  </si>
  <si>
    <t>Report Summary</t>
  </si>
  <si>
    <t>Heating Design Loads</t>
  </si>
  <si>
    <t># of occupants used in loads</t>
  </si>
  <si>
    <t>Conditioned Space Sq Ft</t>
  </si>
  <si>
    <t>Total Heat Loss (Heating Season)</t>
  </si>
  <si>
    <t>Total Heat Gain (Cooling Season)</t>
  </si>
  <si>
    <t>Filtration System</t>
  </si>
  <si>
    <t>Highest MERV Rating of filter for unit selected</t>
  </si>
  <si>
    <t>Merv</t>
  </si>
  <si>
    <t>Equipment</t>
  </si>
  <si>
    <t>Indoor Unit</t>
  </si>
  <si>
    <t>Ducted?</t>
  </si>
  <si>
    <t>Efficiency</t>
  </si>
  <si>
    <t>Capacity (kBu)</t>
  </si>
  <si>
    <t>Outdoor Unit</t>
  </si>
  <si>
    <t>Capacity (kBtu)</t>
  </si>
  <si>
    <t>Commissioning Summary</t>
  </si>
  <si>
    <t>Commissioning Date</t>
  </si>
  <si>
    <t>Person commissioning unit(s)</t>
  </si>
  <si>
    <t>Enter Checked Values</t>
  </si>
  <si>
    <t>SNOW MELT AND ICE SYSTEM CONTROLS</t>
  </si>
  <si>
    <t>TIME SWITCHES FOR POOLS AND PERMANENT SPAS</t>
  </si>
  <si>
    <t>HEATERS FOR POOLS AND PERMANENT SPAS</t>
  </si>
  <si>
    <t>COVERS FOR POOLS AND PERMANENT SPAS</t>
  </si>
  <si>
    <t xml:space="preserve"> PORTABLE SPAS</t>
  </si>
  <si>
    <t>R 403.9</t>
  </si>
  <si>
    <t>R 403.10</t>
  </si>
  <si>
    <t>R 403.11</t>
  </si>
  <si>
    <t>Checked Static Pressure?</t>
  </si>
  <si>
    <t>Checked Delta T is within Equipment specs</t>
  </si>
  <si>
    <t>HERS INDEX REQUIREMENTS</t>
  </si>
  <si>
    <t>All HERS indexes must be based on hourly energy simulation regardless of the permit date of the project.  For HERS indexes determined using REM/Rate the oldest version of REM/Rate software that required hourly energy simulation was Version 16.1, so that or a later version of REM/Rate must be reported on the Home Energy Rating Certificate.  All Mandatory Practices must also be satisfied for Gold or Emerald levels certification.</t>
  </si>
  <si>
    <t>0.5 Point/HERS Index Point Below Required Gold HERS Index, 25 Maximum</t>
  </si>
  <si>
    <t>HERSIndex &gt; 47 - Cannot be Certified</t>
  </si>
  <si>
    <t>HERSIndex &lt; 41 - Emerald</t>
  </si>
  <si>
    <t>HERSIndex = 41-47 - Gold</t>
  </si>
  <si>
    <t>HERSIndex &gt; 51 - Cannot be Certified</t>
  </si>
  <si>
    <t>HERSIndex = 44-51 - Gold</t>
  </si>
  <si>
    <t>HERSIndex &gt; 52 - Cannot be Certified</t>
  </si>
  <si>
    <t>HERSIndex = 45-52 - Gold</t>
  </si>
  <si>
    <t>Required HERS Index for Gold Level</t>
  </si>
  <si>
    <t>Number of HERS Index points better than Gold</t>
  </si>
  <si>
    <t>Overall UA of NM approved 2021 IECC Reference Home --------------------&gt;</t>
  </si>
  <si>
    <t>Does this home meet the Overall UA requirements of the NM approved 2021 IECC energy code? -----&gt;</t>
  </si>
  <si>
    <t>PointList50</t>
  </si>
  <si>
    <r>
      <t xml:space="preserve">Complete and submit HVAC Design &amp; Commissioning Report at tab 5.  </t>
    </r>
    <r>
      <rPr>
        <sz val="11"/>
        <color rgb="FFFF0000"/>
        <rFont val="Calibri"/>
        <family val="2"/>
        <scheme val="minor"/>
      </rPr>
      <t>Green Verifier shall retain the ACCA Manual J &amp; S documents for possible audit by BGNM.</t>
    </r>
  </si>
  <si>
    <t>Complete and submit HVAC Design &amp; Commissioning Report at tab 5.</t>
  </si>
  <si>
    <t>1.2.4</t>
  </si>
  <si>
    <t>1.2.5</t>
  </si>
  <si>
    <t>1.2.6</t>
  </si>
  <si>
    <t>Radon  Mitigation</t>
  </si>
  <si>
    <r>
      <t xml:space="preserve">Radon Zone 2 -- </t>
    </r>
    <r>
      <rPr>
        <sz val="11"/>
        <color theme="1"/>
        <rFont val="Calibri"/>
        <family val="2"/>
        <scheme val="minor"/>
      </rPr>
      <t xml:space="preserve">A passive or active radon mitigation system is installed with description detailed in the owner's manual.  </t>
    </r>
    <r>
      <rPr>
        <sz val="11"/>
        <color rgb="FFFF0000"/>
        <rFont val="Calibri"/>
        <family val="2"/>
        <scheme val="minor"/>
      </rPr>
      <t>Provide photo of labeled radon vent at rough inspection.</t>
    </r>
    <r>
      <rPr>
        <sz val="11"/>
        <color theme="1"/>
        <rFont val="Calibri"/>
        <family val="2"/>
        <scheme val="minor"/>
      </rPr>
      <t xml:space="preserve">
</t>
    </r>
  </si>
  <si>
    <t>PointList37</t>
  </si>
  <si>
    <r>
      <t xml:space="preserve">Project Information Sheet </t>
    </r>
    <r>
      <rPr>
        <b/>
        <sz val="12"/>
        <color theme="1"/>
        <rFont val="Calibri"/>
        <family val="2"/>
        <scheme val="minor"/>
      </rPr>
      <t>Tab 3</t>
    </r>
  </si>
  <si>
    <t>2021 NM Residential Energy Conservation Code Tradeoff Worksheet Or Equal HERS Report.  The NM Residential Energy Conservation Code Tradeoff Worksheet is a separate spreadsheet available for download at BuildGreenNM.com website</t>
  </si>
  <si>
    <t>Documents and certification from other nationally recognized program.  Must include the certificate and the supporting documents for that certification.  Program certifications recognized by BGNM are Energy Star, Zero Energy Ready Homes (ZERH), WaterSense, Water Efficiency Rating System (WERS) and Indoor Air Plus.</t>
  </si>
  <si>
    <t>3 Project Information</t>
  </si>
  <si>
    <t>4 Scoring &amp; Verification</t>
  </si>
  <si>
    <t>6 Indoor Water Testing</t>
  </si>
  <si>
    <t>7 WEiR Index</t>
  </si>
  <si>
    <t>8 Thermal Enclosure Checklist</t>
  </si>
  <si>
    <t>9 NM Climate Zones</t>
  </si>
  <si>
    <t>20+5</t>
  </si>
  <si>
    <r>
      <t xml:space="preserve">0.30 </t>
    </r>
    <r>
      <rPr>
        <i/>
        <sz val="11"/>
        <color theme="1"/>
        <rFont val="Calibri"/>
        <family val="2"/>
        <scheme val="minor"/>
      </rPr>
      <t>i</t>
    </r>
  </si>
  <si>
    <t>(e)  Mass wall shall be in accordance with Section R402.2.5.  The second R-value applies where more than half of the insulation is on the interior of the mass wall.</t>
  </si>
  <si>
    <t xml:space="preserve">   (i) For elevations above 4,000 feet in zones 5 and above the Fenestration U-Factor can be .32</t>
  </si>
  <si>
    <t>Overview of BGNM Program Requirements by Certification Level and Climate Zone</t>
  </si>
  <si>
    <r>
      <t xml:space="preserve">Qualifying for BGNM certification is more rigorous than ever.  However, there are more incentives for the builder and/or homeowner in addition to the NM Sustainable Building Tax Credit (SBTC).  Energy Star, Zero Energy Ready Homes (ZERH), Indoor Air Plus, WaterSense and Water Efficiency Rating System (WERS) can offer additional incentives from utility partners and the federal government (See § 45L legislation).  These offer significant funds to partially offset the added cost of building the above code home.  Truly this will help make the home of the future TODAY!  </t>
    </r>
    <r>
      <rPr>
        <sz val="11"/>
        <color rgb="FFFF0000"/>
        <rFont val="Calibri"/>
        <family val="2"/>
        <scheme val="minor"/>
      </rPr>
      <t>Check with your tax professional to make sure you can qualify for the benefits of the  § 45L legislation!</t>
    </r>
  </si>
  <si>
    <t>Thermal Enclosure Checklist Tab 8, or equivalent Energy Star checklist</t>
  </si>
  <si>
    <t>Further overview of available paths to certification and allowed alternative national certification programs.</t>
  </si>
  <si>
    <t>Builder and project information.  Also allows for additional contacts for certification documents to be sent to.</t>
  </si>
  <si>
    <t>Form for HVAC contractor to complete and send to Green Verifier.  All sign-offs may be done electronically through the builder.  This will be available as a separate download at BuildGreenNM.com.</t>
  </si>
  <si>
    <t>Indoor Water Efficiency Rating System (WEiR) for initial scoring by Builder and verification by Green Verifier.  Completion of this tab is required to populate the beginning of the Water Efficiency section of tab '4 Scoring &amp; Verification'.</t>
  </si>
  <si>
    <t>10 NM 2021 IECC Building Envelope</t>
  </si>
  <si>
    <t>This tab replicates Table 402.1.3 as amended and adopted by the state of New Mexico</t>
  </si>
  <si>
    <t>To start scoring or verification proceed to '4 Scoring &amp; Verification' tab</t>
  </si>
  <si>
    <r>
      <rPr>
        <b/>
        <sz val="12"/>
        <color rgb="FFFAAA96"/>
        <rFont val="Calibri"/>
        <family val="2"/>
        <scheme val="minor"/>
      </rPr>
      <t>2021 IECC</t>
    </r>
    <r>
      <rPr>
        <b/>
        <sz val="12"/>
        <color theme="0"/>
        <rFont val="Calibri"/>
        <family val="2"/>
        <scheme val="minor"/>
      </rPr>
      <t xml:space="preserve"> -- Table 402.1.3
Insulation and Fenestration Requirements by Component (a)
</t>
    </r>
  </si>
  <si>
    <t>Mass
Wall
R-Value (a)</t>
  </si>
  <si>
    <t>Email address of primary contact person</t>
  </si>
  <si>
    <t>Email addresses of all contacts who should receive certification documents</t>
  </si>
  <si>
    <r>
      <t xml:space="preserve">Build Green NM Certification Program is a performance path certification. HERS modeling of the NM adopted version of the 2021 IECC results in a HERS Index for each climate zone and is a maximum number and is the base level for our </t>
    </r>
    <r>
      <rPr>
        <sz val="11"/>
        <color rgb="FFFF0000"/>
        <rFont val="Calibri"/>
        <family val="2"/>
        <scheme val="minor"/>
      </rPr>
      <t>"Code Plus" program certification, which is a work in progress as of this date</t>
    </r>
    <r>
      <rPr>
        <sz val="11"/>
        <color theme="1"/>
        <rFont val="Calibri"/>
        <family val="2"/>
        <scheme val="minor"/>
      </rPr>
      <t>.  The State of NM passed legislation in 2022 mandating qualifications for the Gold and Emerald Levels of certification to be, respectively 30% and 40% better than the IECC code minimum.  This results in a reduced HERS index for those two levels.  See the chart below for more specifics.  There are other requirements for the SBTC.</t>
    </r>
  </si>
  <si>
    <t>Code Plus Level</t>
  </si>
  <si>
    <t>Energy</t>
  </si>
  <si>
    <t>Build Green New Mexico (BGNM) Certification Program (with revisions for 2021 IECC adopted by NM)</t>
  </si>
  <si>
    <t>BGNM Certification Overview</t>
  </si>
  <si>
    <t>Required Documentation for BGNM Certification</t>
  </si>
  <si>
    <t>Satisfy Requirements of 2021 IECC (with revisions as adopted by New Mexico)</t>
  </si>
  <si>
    <t>HERS Index Requirements</t>
  </si>
  <si>
    <r>
      <t xml:space="preserve">BGNM Scoring and Verification spreadsheet </t>
    </r>
    <r>
      <rPr>
        <b/>
        <sz val="12"/>
        <color theme="1"/>
        <rFont val="Calibri"/>
        <family val="2"/>
        <scheme val="minor"/>
      </rPr>
      <t>Tab 4</t>
    </r>
  </si>
  <si>
    <r>
      <t xml:space="preserve">BGNM HVAC Design and Commissioning Report from HVAC contractor OR Energy Star documents on </t>
    </r>
    <r>
      <rPr>
        <b/>
        <sz val="12"/>
        <color theme="1"/>
        <rFont val="Calibri"/>
        <family val="2"/>
        <scheme val="minor"/>
      </rPr>
      <t>Tab 5  (N/A if E-Star or ZERH certified)</t>
    </r>
  </si>
  <si>
    <r>
      <t xml:space="preserve">BGNM IAQ Checklist </t>
    </r>
    <r>
      <rPr>
        <b/>
        <sz val="12"/>
        <color theme="1"/>
        <rFont val="Calibri"/>
        <family val="2"/>
        <scheme val="minor"/>
      </rPr>
      <t xml:space="preserve">Tab 7 </t>
    </r>
    <r>
      <rPr>
        <u/>
        <sz val="12"/>
        <color theme="1"/>
        <rFont val="Calibri"/>
        <family val="2"/>
        <scheme val="minor"/>
      </rPr>
      <t>or</t>
    </r>
    <r>
      <rPr>
        <sz val="12"/>
        <color theme="1"/>
        <rFont val="Calibri"/>
        <family val="2"/>
        <scheme val="minor"/>
      </rPr>
      <t xml:space="preserve"> Indoor Air Plus Certification</t>
    </r>
  </si>
  <si>
    <t>Optional for Substitution</t>
  </si>
  <si>
    <t>Version No.</t>
  </si>
  <si>
    <t>Permit Date</t>
  </si>
  <si>
    <t>Number of Stories</t>
  </si>
  <si>
    <t>Conditioned Floor Area (sq. ft.)</t>
  </si>
  <si>
    <r>
      <t xml:space="preserve">Climate Zone </t>
    </r>
    <r>
      <rPr>
        <sz val="11"/>
        <rFont val="Calibri"/>
        <family val="2"/>
        <scheme val="minor"/>
      </rPr>
      <t>(see tab '7 NM Climate Zones')</t>
    </r>
  </si>
  <si>
    <t>Projects permitted on or after August 1, 2024 must use this version of the BGNM certification program for BGNM certification.</t>
  </si>
  <si>
    <t>This Level is performance based and complies with the NM 2021 IECC  Does not Qualify for any incentives</t>
  </si>
  <si>
    <t>Documentation Required for Certification by BGNM</t>
  </si>
  <si>
    <t>Home must be EV Ready (50 amp capable 220v dedicated Circuit w/ 8 ga wire in a location to accommodate EV Charging) and Label Box "For Future EV"</t>
  </si>
  <si>
    <t>This tab provides the Climate Zones of each city.  This is the source for the Climate Zone entered on tab '3 Project Information' and is used to determine the HERS index required for certification at each certification level.</t>
  </si>
  <si>
    <t xml:space="preserve">Must provide Home Energy Rating Certificate for all rated features of the as-built home.  This is the RESNET-archived Home Energy Rating Certificate.
</t>
  </si>
  <si>
    <t>Overall UA of thermal enclosure system of conditioned volumes of homes to be at least as good as the NM approved 2021 IECC reference home.  You may use the 2021 IECC Building UA Compliance Report or the NM Trade-off Worksheet to verify compliance.</t>
  </si>
  <si>
    <t>1.2.7</t>
  </si>
  <si>
    <t>1.2 - New Mexico Energy Code, Building Air Leakage, Duct Leakage &amp; Other Significant Requirements for Homes Certified by BGNM</t>
  </si>
  <si>
    <t>1.2.8</t>
  </si>
  <si>
    <t>1.2.9</t>
  </si>
  <si>
    <r>
      <t xml:space="preserve">Tested
ACH50
</t>
    </r>
    <r>
      <rPr>
        <b/>
        <sz val="11"/>
        <color theme="1"/>
        <rFont val="Calibri"/>
        <family val="2"/>
      </rPr>
      <t>↓</t>
    </r>
  </si>
  <si>
    <t>1 or 2</t>
  </si>
  <si>
    <t>Verifier must submit Air Leakage Report.</t>
  </si>
  <si>
    <r>
      <t>Energy consumption control.</t>
    </r>
    <r>
      <rPr>
        <sz val="11"/>
        <rFont val="Calibri"/>
        <family val="2"/>
        <scheme val="minor"/>
      </rPr>
      <t xml:space="preserve">  A whole-building or whole-dwelling unit device is installed that controls or monitors energy consumption, as shown below (1 point each):
   (a) Programmable communicating thermostat
   (b) Energy-monitoring device
   (c) Energy management control system
</t>
    </r>
    <r>
      <rPr>
        <sz val="11"/>
        <color rgb="FFFF0000"/>
        <rFont val="Calibri"/>
        <family val="2"/>
        <scheme val="minor"/>
      </rPr>
      <t xml:space="preserve">Must provide a photo of the energy consumption device </t>
    </r>
    <r>
      <rPr>
        <sz val="11"/>
        <rFont val="Calibri"/>
        <family val="2"/>
        <scheme val="minor"/>
      </rPr>
      <t xml:space="preserve">                                        </t>
    </r>
  </si>
  <si>
    <r>
      <t xml:space="preserve">Has the </t>
    </r>
    <r>
      <rPr>
        <b/>
        <sz val="14"/>
        <color theme="1"/>
        <rFont val="Calibri"/>
        <family val="2"/>
        <scheme val="minor"/>
      </rPr>
      <t>building leakage requirement</t>
    </r>
    <r>
      <rPr>
        <sz val="14"/>
        <color theme="1"/>
        <rFont val="Calibri"/>
        <family val="2"/>
        <scheme val="minor"/>
      </rPr>
      <t xml:space="preserve"> been satisfied? (See Practice 1.2.4, above)</t>
    </r>
  </si>
  <si>
    <r>
      <t xml:space="preserve">Has the </t>
    </r>
    <r>
      <rPr>
        <b/>
        <sz val="14"/>
        <color theme="1"/>
        <rFont val="Calibri"/>
        <family val="2"/>
        <scheme val="minor"/>
      </rPr>
      <t>duct leakage requirement</t>
    </r>
    <r>
      <rPr>
        <sz val="14"/>
        <color theme="1"/>
        <rFont val="Calibri"/>
        <family val="2"/>
        <scheme val="minor"/>
      </rPr>
      <t xml:space="preserve"> been satisfied? (See Practice 1.2.3, above)</t>
    </r>
  </si>
  <si>
    <r>
      <t xml:space="preserve">Have all other required </t>
    </r>
    <r>
      <rPr>
        <b/>
        <sz val="14"/>
        <color theme="1"/>
        <rFont val="Calibri"/>
        <family val="2"/>
        <scheme val="minor"/>
      </rPr>
      <t>mandatory requirements</t>
    </r>
    <r>
      <rPr>
        <sz val="14"/>
        <color theme="1"/>
        <rFont val="Calibri"/>
        <family val="2"/>
        <scheme val="minor"/>
      </rPr>
      <t xml:space="preserve"> been satisfied? (See practices indicated as Mandatory, above.)</t>
    </r>
  </si>
  <si>
    <r>
      <t xml:space="preserve">On-demand hot water circulation systems (with button or motion sensor) serving remote hot water fixtures AND with an aquastat to turn the pump off when warm water is detected.  (2 points)  </t>
    </r>
    <r>
      <rPr>
        <sz val="11"/>
        <color rgb="FFFF0000"/>
        <rFont val="Calibri"/>
        <family val="2"/>
        <scheme val="minor"/>
      </rPr>
      <t xml:space="preserve">If a push button control is located inside a cabinet (or similar), the button switch should be labeled to identify it as controlling the demand water recirc system.
BGNM cannot certify hot water recirculation systems that are constantly on without an aquastat, systems controlled by a timer without an aquastat, or systems controlled by a 'smart controller' designed to 'learn' the hot water scheduling needs of occupants.
</t>
    </r>
  </si>
  <si>
    <t>(a)  Clothes dryers are vented to the outdoors?</t>
  </si>
  <si>
    <r>
      <t xml:space="preserve">(b)  Bathroom and laundry fans are vented to the outdoors. Fans shall be tested and verified to have a minimum ventilation rate of 50 cfm for intermittent operation or 20 cfm for continuous operation?  </t>
    </r>
    <r>
      <rPr>
        <sz val="11"/>
        <color rgb="FFFF0000"/>
        <rFont val="Calibri"/>
        <family val="2"/>
        <scheme val="minor"/>
      </rPr>
      <t>Results to be listed in notes column.</t>
    </r>
  </si>
  <si>
    <r>
      <t xml:space="preserve">(c)  Kitchen has exhaust fans and range hoods ducted to the outside? </t>
    </r>
    <r>
      <rPr>
        <b/>
        <sz val="11"/>
        <color theme="1"/>
        <rFont val="Calibri"/>
        <family val="2"/>
        <scheme val="minor"/>
      </rPr>
      <t xml:space="preserve">(Mandatory) </t>
    </r>
    <r>
      <rPr>
        <sz val="11"/>
        <color theme="1"/>
        <rFont val="Calibri"/>
        <family val="2"/>
        <scheme val="minor"/>
      </rPr>
      <t xml:space="preserve">Kitchen exhaust fan is tested and verified to meet requirements (1 point if verified to vent =&gt; 100 cfm).  </t>
    </r>
    <r>
      <rPr>
        <sz val="11"/>
        <color rgb="FFFF0000"/>
        <rFont val="Calibri"/>
        <family val="2"/>
        <scheme val="minor"/>
      </rPr>
      <t>Result to be listed in notes column.</t>
    </r>
  </si>
  <si>
    <r>
      <t xml:space="preserve">(a) Are any </t>
    </r>
    <r>
      <rPr>
        <b/>
        <sz val="11"/>
        <rFont val="Calibri"/>
        <family val="2"/>
        <scheme val="minor"/>
      </rPr>
      <t>natural draft</t>
    </r>
    <r>
      <rPr>
        <sz val="11"/>
        <rFont val="Calibri"/>
        <family val="2"/>
        <scheme val="minor"/>
      </rPr>
      <t xml:space="preserve"> furnaces, boilers or water heaters installed in conditioned spaces of the home?</t>
    </r>
  </si>
  <si>
    <t>(b)  If so, is the combustion equipment located in a sealed mechanical room that has an outdoor air source?</t>
  </si>
  <si>
    <r>
      <rPr>
        <b/>
        <sz val="11"/>
        <color theme="1"/>
        <rFont val="Calibri"/>
        <family val="2"/>
        <scheme val="minor"/>
      </rPr>
      <t>Gas fireplaces and direct heating equipment</t>
    </r>
    <r>
      <rPr>
        <sz val="11"/>
        <color theme="1"/>
        <rFont val="Calibri"/>
        <family val="2"/>
        <scheme val="minor"/>
      </rPr>
      <t xml:space="preserve"> is listed and is installed in accordance with the NFPA National Fuel Gas Code or ICC International Fuel Gas Code or the applicable local gas appliance installation code AND gas fired fireplaces and direct heating equipment are vented to the outdoors.</t>
    </r>
  </si>
  <si>
    <t>(a)  Is carpet installed in wet areas around tubs, toilets or showers?</t>
  </si>
  <si>
    <r>
      <t>Building enclosure leakage testing.</t>
    </r>
    <r>
      <rPr>
        <sz val="11"/>
        <rFont val="Calibri"/>
        <family val="2"/>
        <scheme val="minor"/>
      </rPr>
      <t xml:space="preserve">  A blower door test is performed by a third-party in accordance with RESNET protocols.  The blower door test result in air changes per hour at 50 Pascals pressure difference (ACH50) is reported and additional points awarded for superior building enclosure air-tightness in accordance with the table below.</t>
    </r>
  </si>
  <si>
    <t>Less than or equal to 2.50 ACH50</t>
  </si>
  <si>
    <t>Greater than 2.50 ACH50 but less than or equal to 3.00 ACH50</t>
  </si>
  <si>
    <t>Greater than 3.00 ACH50</t>
  </si>
  <si>
    <t>Permitted after July 31, 2024</t>
  </si>
  <si>
    <r>
      <t>HVAC system performance testing.</t>
    </r>
    <r>
      <rPr>
        <sz val="11"/>
        <color theme="1"/>
        <rFont val="Calibri"/>
        <family val="2"/>
        <scheme val="minor"/>
      </rPr>
      <t xml:space="preserve">  Performance of the heating and cooling systems is verified by the HVAC contractor in accordance with all of the following, if applicable, and the HVAC Design &amp; Commissioning Report is provided to the verifier:</t>
    </r>
  </si>
  <si>
    <t>Was voltage checked to be in accordance with manufacturer's instructions?</t>
  </si>
  <si>
    <t>Was burner set to fire at input level specified on furnace nameplate?</t>
  </si>
  <si>
    <t>Was refrigerant charge verified by super-heat and/or sub-cooling method?</t>
  </si>
  <si>
    <t>Were air handler settings and fan speeds set in accordance with manufacturer's instructions?</t>
  </si>
  <si>
    <t>Has the static pressure been checked to be in conformance with manufacturer's instructions?</t>
  </si>
  <si>
    <t>Has the Delta T been checked to be in conformance with manufacterer's specifications?</t>
  </si>
  <si>
    <t>(c)  Building cavities shall not be used as supply or return ducts.  Industry-approved duct materials shall be used to minimize leakage of conditioned air.  This includes plenums such as platforms under forced air systems for return air.  All such cavities shall be lined and sealed with appropriate duct materials.</t>
  </si>
  <si>
    <r>
      <t>WEiR index points for indoor water use.</t>
    </r>
    <r>
      <rPr>
        <sz val="11"/>
        <color theme="1"/>
        <rFont val="Calibri"/>
        <family val="2"/>
        <scheme val="minor"/>
      </rPr>
      <t xml:space="preserve">  Points awarded equal 75 less the WEiR index achieved.  WaterSense water fixtures and ENERGY STAR water appliances set the minimum WEiR Index.  Complete the WEiR Index spreadsheet to tabulate the score.</t>
    </r>
  </si>
  <si>
    <t>Heating equipment is heat pump, direct vent or power vent.</t>
  </si>
  <si>
    <t>Water heating equipment is heat pump, direct vent or power vent.</t>
  </si>
  <si>
    <r>
      <rPr>
        <b/>
        <sz val="11"/>
        <color theme="1"/>
        <rFont val="Calibri"/>
        <family val="2"/>
        <scheme val="minor"/>
      </rPr>
      <t>(a) HVAC System Design</t>
    </r>
    <r>
      <rPr>
        <sz val="11"/>
        <color theme="1"/>
        <rFont val="Calibri"/>
        <family val="2"/>
        <scheme val="minor"/>
      </rPr>
      <t xml:space="preserve"> - Does Manual J report confirm that the design of the HVAC system takes into account increased duct pressure drops and reduced air flows with MERV filter ratings of at least MERV 8?</t>
    </r>
  </si>
  <si>
    <r>
      <rPr>
        <sz val="11"/>
        <color theme="1"/>
        <rFont val="Calibri"/>
        <family val="2"/>
        <scheme val="minor"/>
      </rPr>
      <t>(b)  Automatic sprinkler and drip irrigation controls are installed and cover 80% or more of new plants and turf (1.5 points front, 1.5 points rear, 3 point both)</t>
    </r>
  </si>
  <si>
    <r>
      <rPr>
        <sz val="11"/>
        <color theme="1"/>
        <rFont val="Calibri"/>
        <family val="2"/>
        <scheme val="minor"/>
      </rPr>
      <t>(c)  Rain sensor or soil moisture sensor is part of Irrigation controls</t>
    </r>
  </si>
  <si>
    <t>HVAC Design &amp; Commissioning Report</t>
  </si>
  <si>
    <r>
      <t>WEiR spreadsheet and worksheet</t>
    </r>
    <r>
      <rPr>
        <b/>
        <sz val="12"/>
        <color theme="1"/>
        <rFont val="Calibri"/>
        <family val="2"/>
        <scheme val="minor"/>
      </rPr>
      <t xml:space="preserve"> (Tabs 6 &amp; 7) </t>
    </r>
    <r>
      <rPr>
        <b/>
        <u/>
        <sz val="12"/>
        <color theme="1"/>
        <rFont val="Calibri"/>
        <family val="2"/>
        <scheme val="minor"/>
      </rPr>
      <t>OR</t>
    </r>
    <r>
      <rPr>
        <sz val="12"/>
        <color theme="1"/>
        <rFont val="Calibri"/>
        <family val="2"/>
        <scheme val="minor"/>
      </rPr>
      <t xml:space="preserve"> WERS Certification </t>
    </r>
    <r>
      <rPr>
        <b/>
        <u/>
        <sz val="12"/>
        <color theme="1"/>
        <rFont val="Calibri"/>
        <family val="2"/>
        <scheme val="minor"/>
      </rPr>
      <t>OR</t>
    </r>
    <r>
      <rPr>
        <sz val="12"/>
        <color theme="1"/>
        <rFont val="Calibri"/>
        <family val="2"/>
        <scheme val="minor"/>
      </rPr>
      <t xml:space="preserve"> WaterSense Certification</t>
    </r>
  </si>
  <si>
    <t xml:space="preserve">Full view of front of home including landscape features at rough inspection.  Full view of front and rear of home including landscaping at final inspection.  </t>
  </si>
  <si>
    <t>PointList51</t>
  </si>
  <si>
    <t>No HVAC Ducts</t>
  </si>
  <si>
    <t xml:space="preserve">                                                                                                     </t>
  </si>
  <si>
    <t>(b)  Burner is set to fire at input level listed on nameplate (combustion equipment).</t>
  </si>
  <si>
    <t>(c)  Refrigerant charge is verified by super-heat and/or sub-cooling method.</t>
  </si>
  <si>
    <t>Cooling Design Loads</t>
  </si>
  <si>
    <t>Were Manuals S, J and D followed for Design of system?  Verifier must obtain &amp; retain copies of these reports.</t>
  </si>
  <si>
    <r>
      <t xml:space="preserve">Other New Mexico Approved 2021 Energy Conservation Code (NM ECC) Requirements -- </t>
    </r>
    <r>
      <rPr>
        <sz val="11"/>
        <color theme="1"/>
        <rFont val="Calibri"/>
        <family val="2"/>
        <scheme val="minor"/>
      </rPr>
      <t>NOTE:  THE NM APPROVED 2021 INTERNATIONAL ENERGY CONSERVATION CODE HAS  OTHER COMPLIANCE REQUIREMENTS THAT BGNM DOES NOT REQUIRE FOR CERTIFICATION BY BGNM, SOME OF WHICH ARE LISTED BELOW.  THESE SYSTEMS AND COMPONENTS SHOULD BE PART OF THE ELECTRICAL OR OTHER INSPECTIONS BY CODE OFFICIALS.</t>
    </r>
  </si>
  <si>
    <t>1.2.3</t>
  </si>
  <si>
    <t>BGNM Verifier must provide photo(s) showing location of combustion space heating equipment and hot water heaters showing location -- in conditioned living space, garage, or elsewhere.</t>
  </si>
  <si>
    <r>
      <rPr>
        <b/>
        <sz val="11"/>
        <color theme="1"/>
        <rFont val="Calibri"/>
        <family val="2"/>
        <scheme val="minor"/>
      </rPr>
      <t>HVAC Duct Leakage Tests.</t>
    </r>
    <r>
      <rPr>
        <sz val="11"/>
        <color theme="1"/>
        <rFont val="Calibri"/>
        <family val="2"/>
        <scheme val="minor"/>
      </rPr>
      <t xml:space="preserve">  </t>
    </r>
    <r>
      <rPr>
        <b/>
        <sz val="11"/>
        <color rgb="FFFF0000"/>
        <rFont val="Calibri"/>
        <family val="2"/>
        <scheme val="minor"/>
      </rPr>
      <t>A total duct leakage test AND a duct leakage to outside test must be performed for ALL homes heated and/or cooled with ducted HVAC system(s).  Duct leakage tests must be performed with 25 Pascals pressure difference.</t>
    </r>
  </si>
  <si>
    <t>Not Applicable (See Note)</t>
  </si>
  <si>
    <t>Minimum ventilation requirement to satisfy 2013 or 2016 ASHRAE 62.2 per Air Leakage Report ----------&gt;</t>
  </si>
  <si>
    <t>Is 2013 or 2016 ASHRAE 62.2 minimum ventilation requirement satisfied for this project? ----------&gt;</t>
  </si>
  <si>
    <t>(b)  Balanced exhaust and supply fans tested and meeting 2013 or 2016 ASHRAE 62.2 whole-house ventilation requirements described above, OR</t>
  </si>
  <si>
    <t>(c)  ERV or HRV system installed and tested and meeting 2013 or 2016 ASHRAE 62.2 whole-house ventilation requirements described above.</t>
  </si>
  <si>
    <r>
      <t xml:space="preserve">Based solely on </t>
    </r>
    <r>
      <rPr>
        <b/>
        <sz val="14"/>
        <color theme="1"/>
        <rFont val="Calibri"/>
        <family val="2"/>
        <scheme val="minor"/>
      </rPr>
      <t>indoor air quality points</t>
    </r>
    <r>
      <rPr>
        <sz val="14"/>
        <color theme="1"/>
        <rFont val="Calibri"/>
        <family val="2"/>
        <scheme val="minor"/>
      </rPr>
      <t xml:space="preserve"> achieved, the highest certification level that can be achieved in the indoor air quality section is shown.  Indoor air quality points required for the various levels of certification are:  Gold 10, and Emerald 15?</t>
    </r>
  </si>
  <si>
    <r>
      <t xml:space="preserve">There are </t>
    </r>
    <r>
      <rPr>
        <b/>
        <sz val="14"/>
        <color theme="1"/>
        <rFont val="Calibri"/>
        <family val="2"/>
        <scheme val="minor"/>
      </rPr>
      <t>no minimum points requirements</t>
    </r>
    <r>
      <rPr>
        <sz val="14"/>
        <color theme="1"/>
        <rFont val="Calibri"/>
        <family val="2"/>
        <scheme val="minor"/>
      </rPr>
      <t xml:space="preserve"> in other sustainability practices section got any level of BGNM certification.</t>
    </r>
  </si>
  <si>
    <t>Any Level</t>
  </si>
  <si>
    <r>
      <t xml:space="preserve">There are no </t>
    </r>
    <r>
      <rPr>
        <b/>
        <sz val="14"/>
        <color theme="1"/>
        <rFont val="Calibri"/>
        <family val="2"/>
        <scheme val="minor"/>
      </rPr>
      <t>mandatory requirements</t>
    </r>
    <r>
      <rPr>
        <sz val="14"/>
        <color theme="1"/>
        <rFont val="Calibri"/>
        <family val="2"/>
        <scheme val="minor"/>
      </rPr>
      <t xml:space="preserve"> in the other sustainability practices section.</t>
    </r>
  </si>
  <si>
    <t>HIDDEN CELLS BELOW ARE SOME FORMULAS FOR THIS SHEET -- MUST CHANGE FORMAT FROM RED TEXT &amp; RED FILL TO SOMETHING ELSE TO SEE THE INFORMATION</t>
  </si>
  <si>
    <r>
      <t xml:space="preserve">(d)  DUCT LEAKAGE TO OUTSIDE -- </t>
    </r>
    <r>
      <rPr>
        <b/>
        <sz val="11"/>
        <color rgb="FFFF0000"/>
        <rFont val="Calibri"/>
        <family val="2"/>
        <scheme val="minor"/>
      </rPr>
      <t>Required for ALL homes heated and/or cooled with ducted HVAC system(s).  Duct leakage to outside must be &lt;= 3.0 CFM per 100 sq. ft. of CFA to qualify for BGNM certification.  Duct leakage to outside of &lt; 2.0 CFM per 100 ft</t>
    </r>
    <r>
      <rPr>
        <b/>
        <vertAlign val="superscript"/>
        <sz val="11"/>
        <color rgb="FFFF0000"/>
        <rFont val="Calibri"/>
        <family val="2"/>
        <scheme val="minor"/>
      </rPr>
      <t>2</t>
    </r>
    <r>
      <rPr>
        <b/>
        <sz val="11"/>
        <color rgb="FFFF0000"/>
        <rFont val="Calibri"/>
        <family val="2"/>
        <scheme val="minor"/>
      </rPr>
      <t xml:space="preserve"> of CFA qualifies for 2 points.</t>
    </r>
  </si>
  <si>
    <r>
      <t xml:space="preserve">(a)  Is the home heated and/or cooled with ducted HVAC system(s)? </t>
    </r>
    <r>
      <rPr>
        <b/>
        <sz val="11"/>
        <color rgb="FFFF0000"/>
        <rFont val="Calibri"/>
        <family val="2"/>
        <scheme val="minor"/>
      </rPr>
      <t xml:space="preserve"> If not, proceed to practice 1.2.4 after answering this question.</t>
    </r>
  </si>
  <si>
    <r>
      <t>TOTAL duct leakage in CFM per 100 ft</t>
    </r>
    <r>
      <rPr>
        <b/>
        <vertAlign val="superscript"/>
        <sz val="11"/>
        <color theme="1"/>
        <rFont val="Calibri"/>
        <family val="2"/>
        <scheme val="minor"/>
      </rPr>
      <t>2</t>
    </r>
    <r>
      <rPr>
        <b/>
        <sz val="11"/>
        <color theme="1"/>
        <rFont val="Calibri"/>
        <family val="2"/>
        <scheme val="minor"/>
      </rPr>
      <t xml:space="preserve"> of CFA</t>
    </r>
  </si>
  <si>
    <t>DUCT LEAKAGE TO OUTSIDE in CFM at 25 Pascals</t>
  </si>
  <si>
    <r>
      <t>DUCT LEAKAGE TO OUTSIDE in CFM per 100 ft</t>
    </r>
    <r>
      <rPr>
        <b/>
        <vertAlign val="superscript"/>
        <sz val="11"/>
        <color theme="1"/>
        <rFont val="Calibri"/>
        <family val="2"/>
        <scheme val="minor"/>
      </rPr>
      <t>2</t>
    </r>
    <r>
      <rPr>
        <b/>
        <sz val="11"/>
        <color theme="1"/>
        <rFont val="Calibri"/>
        <family val="2"/>
        <scheme val="minor"/>
      </rPr>
      <t xml:space="preserve"> of CFA</t>
    </r>
  </si>
  <si>
    <r>
      <t xml:space="preserve">(b)  Are ALL HVAC ducts AND the air handler unit (AHU) completely within the building thermal enclosure envelope? </t>
    </r>
    <r>
      <rPr>
        <b/>
        <sz val="11"/>
        <color rgb="FFFF0000"/>
        <rFont val="Calibri"/>
        <family val="2"/>
        <scheme val="minor"/>
      </rPr>
      <t xml:space="preserve"> If so, 3 points are allowed provided total duct leakage and duct leakage to outside requirements per practices 1.2.3(c) and 1.2.3(d), below, are satisfied.</t>
    </r>
  </si>
  <si>
    <t>TOTAL duct leakage testing conditions?</t>
  </si>
  <si>
    <t>TOTAL duct leakage in CFM at 25 Pascals</t>
  </si>
  <si>
    <t>Recessed lighting fixtures adjacent to unconditioned spaces are insulation-contact, air-tight (ICAT) labeled and fully gasketed.  Also, if in insulated ceiling with attic space above, exterior surface of fixture insulated to at least R-10 in CZ 4 and higher to minimize condensation potential.  At time of final inspection Verifier must ensure that all recessed lighting cans are sealed to the drywall to minimize air leakage.</t>
  </si>
  <si>
    <t>HVAC duct and flue shafts - All ducts must be raised above the ceiling drywall to accommodate 5" of insulation between the ducts and ceiling drywall.  At time of final inspection Verifier must ensure that all ceiling and wall vents are sealed to the drywall to minimize air leakage.</t>
  </si>
  <si>
    <t>Electrical wiring - All electrical boxes (for switches, electrical outlets, etc.) that penetrate the air barrier must have airtight gaskets or must be sealed to the drywall to minimize air leakage.</t>
  </si>
  <si>
    <r>
      <t xml:space="preserve">(c)  TOTAL DUCT LEAKAGE TEST -- </t>
    </r>
    <r>
      <rPr>
        <b/>
        <sz val="11"/>
        <color rgb="FFFF0000"/>
        <rFont val="Calibri"/>
        <family val="2"/>
        <scheme val="minor"/>
      </rPr>
      <t>Required for ALL homes heated and/or cooled with ducted HVAC system(s).  Total duct leakage must be &lt;= 4.0 CFM per 100 ft</t>
    </r>
    <r>
      <rPr>
        <b/>
        <vertAlign val="superscript"/>
        <sz val="11"/>
        <color rgb="FFFF0000"/>
        <rFont val="Calibri"/>
        <family val="2"/>
        <scheme val="minor"/>
      </rPr>
      <t>2</t>
    </r>
    <r>
      <rPr>
        <b/>
        <sz val="11"/>
        <color rgb="FFFF0000"/>
        <rFont val="Calibri"/>
        <family val="2"/>
        <scheme val="minor"/>
      </rPr>
      <t xml:space="preserve"> of CFA when tested with the AHU or &lt;= 3.0 CFM per 100 ft</t>
    </r>
    <r>
      <rPr>
        <b/>
        <vertAlign val="superscript"/>
        <sz val="11"/>
        <color rgb="FFFF0000"/>
        <rFont val="Calibri"/>
        <family val="2"/>
        <scheme val="minor"/>
      </rPr>
      <t>2</t>
    </r>
    <r>
      <rPr>
        <b/>
        <sz val="11"/>
        <color rgb="FFFF0000"/>
        <rFont val="Calibri"/>
        <family val="2"/>
        <scheme val="minor"/>
      </rPr>
      <t xml:space="preserve"> of CFA when tested without the AHU.</t>
    </r>
  </si>
  <si>
    <t>Practice</t>
  </si>
  <si>
    <t>Cell Ref.</t>
  </si>
  <si>
    <t>1.2.3(b)</t>
  </si>
  <si>
    <t>I-28</t>
  </si>
  <si>
    <t>Are all ducts &amp; AHU inside the thermal enclosure?</t>
  </si>
  <si>
    <t>M-27</t>
  </si>
  <si>
    <t>1.2.3(c)</t>
  </si>
  <si>
    <t>I-30</t>
  </si>
  <si>
    <t>"With air handler" or "Without air handler"?</t>
  </si>
  <si>
    <t>TOTAL DUCT LEAKAGE TEST:</t>
  </si>
  <si>
    <t>I-32</t>
  </si>
  <si>
    <t>Total duct leakage in CFM per 100 sq. ft. of CFA?</t>
  </si>
  <si>
    <t>DUCT LEAKAGE TO OUTSIDE TEST</t>
  </si>
  <si>
    <t>1.2.3(d)</t>
  </si>
  <si>
    <t>I35</t>
  </si>
  <si>
    <t>Duct leakage to outside in CFM per 100 sq. ft. of CFA?</t>
  </si>
  <si>
    <t>"DUCT LEAKAGE TESTS PASSED"?</t>
  </si>
  <si>
    <t>Verification Report Questions</t>
  </si>
  <si>
    <t>If, 1</t>
  </si>
  <si>
    <t>If, 2</t>
  </si>
  <si>
    <t>If, 3</t>
  </si>
  <si>
    <t>If, 4</t>
  </si>
  <si>
    <t>If, 5</t>
  </si>
  <si>
    <t>If, 6</t>
  </si>
  <si>
    <t>If, 7</t>
  </si>
  <si>
    <t>If, 8</t>
  </si>
  <si>
    <t>&lt;= 2.0</t>
  </si>
  <si>
    <t>&lt;= 4.0</t>
  </si>
  <si>
    <t>With  AHU</t>
  </si>
  <si>
    <t>Points for all ducts &amp; AHU being inside thermal enclosure</t>
  </si>
  <si>
    <t>Points for duct leakage to outsice</t>
  </si>
  <si>
    <t>With AHU</t>
  </si>
  <si>
    <t>&lt;= 3.0</t>
  </si>
  <si>
    <t>Without AHU</t>
  </si>
  <si>
    <t>POINTS AWARDED (based on above responses)</t>
  </si>
  <si>
    <t>Total points allowed</t>
  </si>
  <si>
    <r>
      <t xml:space="preserve">(b)  </t>
    </r>
    <r>
      <rPr>
        <b/>
        <sz val="11"/>
        <color theme="1"/>
        <rFont val="Calibri"/>
        <family val="2"/>
        <scheme val="minor"/>
      </rPr>
      <t>Controls for permanently installed light fixtures</t>
    </r>
    <r>
      <rPr>
        <sz val="11"/>
        <color theme="1"/>
        <rFont val="Calibri"/>
        <family val="2"/>
        <scheme val="minor"/>
      </rPr>
      <t xml:space="preserve"> - Light fixture controls (dimmer switches, occupancy sensors, or other controls) are installed for all permanently installed light fixtures in rooms other than bathrooms, hallways, exterior lighting fixtures, and lighting fixtures designed for safety or security.
</t>
    </r>
    <r>
      <rPr>
        <sz val="11"/>
        <color rgb="FFFF0000"/>
        <rFont val="Calibri"/>
        <family val="2"/>
        <scheme val="minor"/>
      </rPr>
      <t>Note:  Although not required for BGNM certification, these controls are required by building codes in Rio Rancho.  BGNM recommends that all builders add this to their building practices.</t>
    </r>
  </si>
  <si>
    <t>Mandatory
in
Rio Rancho
(But not for BGNM certification)</t>
  </si>
  <si>
    <t>Certification level achieved based on energy efficiency points earned (in conjunction with HERS Index).  Gold level certification requires at least 10 points and Emerald level certification requires at least 15 points.</t>
  </si>
  <si>
    <t>In Compliance</t>
  </si>
  <si>
    <t>Not Applicable, Radon Zone 2</t>
  </si>
  <si>
    <r>
      <t xml:space="preserve">Has the </t>
    </r>
    <r>
      <rPr>
        <b/>
        <sz val="14"/>
        <color theme="1"/>
        <rFont val="Calibri"/>
        <family val="2"/>
        <scheme val="minor"/>
      </rPr>
      <t>mandatory whole-house ventilation</t>
    </r>
    <r>
      <rPr>
        <sz val="14"/>
        <color theme="1"/>
        <rFont val="Calibri"/>
        <family val="2"/>
        <scheme val="minor"/>
      </rPr>
      <t xml:space="preserve"> requirement been satisfied?  (See Practice 3.0 or 3.2.1, above)</t>
    </r>
  </si>
  <si>
    <r>
      <t xml:space="preserve">Was this home certified using the EPA Indoor AirPlus program?  -----&gt;
</t>
    </r>
    <r>
      <rPr>
        <b/>
        <sz val="11"/>
        <color rgb="FFFF0000"/>
        <rFont val="Calibri"/>
        <family val="2"/>
        <scheme val="minor"/>
      </rPr>
      <t>Note:  If this home has the EPA Indoor AirPlus certification, the home must also satisfy the 2013 or 2016 ASHRAE 62.2 whole-house ventilation requirements.  Answer the questions below regarding these whole-house ventilation requirements.</t>
    </r>
  </si>
  <si>
    <t>PointList52</t>
  </si>
  <si>
    <t>Exhaust only</t>
  </si>
  <si>
    <t>Supply only</t>
  </si>
  <si>
    <t>HRV</t>
  </si>
  <si>
    <t>ERV</t>
  </si>
  <si>
    <r>
      <t xml:space="preserve">Was the ventilation rate of the whole-house ventilation system tested to confirm that it satisfies 2013 or 2016 ASHRAE 62.2 minimum ventilation requirements?  ----&gt;
</t>
    </r>
    <r>
      <rPr>
        <b/>
        <sz val="11"/>
        <color rgb="FFFF0000"/>
        <rFont val="Calibri"/>
        <family val="2"/>
        <scheme val="minor"/>
      </rPr>
      <t xml:space="preserve">Note:  A copy of the Air Leakage Report must be provided to support compliance.  </t>
    </r>
  </si>
  <si>
    <r>
      <t xml:space="preserve">What type of whole-house ventilation system was used to satisfy the 2013 or 2016 ASHRAE 62.2 requirement?  ----&gt;
</t>
    </r>
    <r>
      <rPr>
        <b/>
        <sz val="11"/>
        <color rgb="FFFF0000"/>
        <rFont val="Calibri"/>
        <family val="2"/>
        <scheme val="minor"/>
      </rPr>
      <t>For Emerald level certification, an HRV or ERV must be installed to satisfy 2013 or 2016 ASHRAE 62.2 whole-house ventilation requirements.</t>
    </r>
  </si>
  <si>
    <t>1 BGNM Certification Overview</t>
  </si>
  <si>
    <t>2 Required Documentation</t>
  </si>
  <si>
    <t>5 HVAC Design &amp; Commissioning Report</t>
  </si>
  <si>
    <r>
      <t xml:space="preserve">BGNM has made a straightforward spreadsheet that takes into account all of the available performance paths for certification in these other complementary programs. </t>
    </r>
    <r>
      <rPr>
        <b/>
        <sz val="11"/>
        <color theme="1"/>
        <rFont val="Calibri"/>
        <family val="2"/>
        <scheme val="minor"/>
      </rPr>
      <t xml:space="preserve"> It all starts with the HERS Index of the home sent for submission </t>
    </r>
    <r>
      <rPr>
        <b/>
        <sz val="11"/>
        <color rgb="FFFF0000"/>
        <rFont val="Calibri"/>
        <family val="2"/>
        <scheme val="minor"/>
      </rPr>
      <t>and</t>
    </r>
    <r>
      <rPr>
        <b/>
        <sz val="11"/>
        <color theme="1"/>
        <rFont val="Calibri"/>
        <family val="2"/>
        <scheme val="minor"/>
      </rPr>
      <t xml:space="preserve"> compliance with the NM UA tradeoff worksheet (or equal)</t>
    </r>
    <r>
      <rPr>
        <sz val="11"/>
        <color theme="1"/>
        <rFont val="Calibri"/>
        <family val="2"/>
        <scheme val="minor"/>
      </rPr>
      <t>.  Once those two items pass the BGNM threshold the Build Green NM program can operate similar as before with some great alternatives.  As an example, If you have certified your project with Energy Star the program awards points for that certification and allows you to skip forward.  Look near the top of each of the sections for the substitutions that are available.</t>
    </r>
  </si>
  <si>
    <r>
      <rPr>
        <b/>
        <sz val="11"/>
        <color theme="1"/>
        <rFont val="Calibri"/>
        <family val="2"/>
        <scheme val="minor"/>
      </rPr>
      <t>A note about Radon</t>
    </r>
    <r>
      <rPr>
        <sz val="11"/>
        <color theme="1"/>
        <rFont val="Calibri"/>
        <family val="2"/>
        <scheme val="minor"/>
      </rPr>
      <t>:  Radon is a radioactive gas found in some areas of NM.  For homes built in a Radon Zone 1 (defined by county home is built in), BGNM requires a passive radon venting mitigation system to qualify for certification.  Energy Star and related programs also require Radon Mitigation that is rigorous and may vary from the BGNM Requirements.  The systems required by Energy Star, ZERH and Indoor Air + all qualify for BGNM.</t>
    </r>
  </si>
  <si>
    <r>
      <t xml:space="preserve">The Gold and Emerald Levels are performance based and exceeds the NM 2021 IECC.  </t>
    </r>
    <r>
      <rPr>
        <b/>
        <u/>
        <sz val="11"/>
        <color theme="1"/>
        <rFont val="Calibri"/>
        <family val="2"/>
        <scheme val="minor"/>
      </rPr>
      <t>May</t>
    </r>
    <r>
      <rPr>
        <sz val="11"/>
        <color theme="1"/>
        <rFont val="Calibri"/>
        <family val="2"/>
        <scheme val="minor"/>
      </rPr>
      <t xml:space="preserve"> qualify for the SBTC and also some utility and or federal incentives as well.  These levels allow several paths to certification including BGNM, Energy Star, ZERH, WaterSense, WERS, Indoor Air + and others</t>
    </r>
  </si>
  <si>
    <t>Air Leakage Report (Including ventilation)</t>
  </si>
  <si>
    <t>Total duct leakage test (3 CFM w/o Air Handler or  4 CFM with Air Handler per 100 sq ft conditioned space) as reported in Air Leakage Report (required in Item 4).</t>
  </si>
  <si>
    <t>Photo of EV Charger Circuit Breaker</t>
  </si>
  <si>
    <r>
      <rPr>
        <sz val="12"/>
        <rFont val="Calibri"/>
        <family val="2"/>
        <scheme val="minor"/>
      </rPr>
      <t xml:space="preserve">Photo showing mechanical room from outside the open door and where that door opens to.  Photo showing labeled radon vent pipe at rough inspection for Radon Zone 1. </t>
    </r>
    <r>
      <rPr>
        <sz val="12"/>
        <color rgb="FFFF0000"/>
        <rFont val="Calibri"/>
        <family val="2"/>
        <scheme val="minor"/>
      </rPr>
      <t xml:space="preserve"> Additional photo requirements will be noted in the specific practice.  </t>
    </r>
  </si>
  <si>
    <r>
      <t>Lighting equipment</t>
    </r>
    <r>
      <rPr>
        <sz val="11"/>
        <color theme="1"/>
        <rFont val="Calibri"/>
        <family val="2"/>
        <scheme val="minor"/>
      </rPr>
      <t xml:space="preserve"> - Efficacy of light bulbs, and lighting controls (dimmer switches, occupancy sensors, or other controls)</t>
    </r>
  </si>
  <si>
    <r>
      <t xml:space="preserve">Passive heating design, </t>
    </r>
    <r>
      <rPr>
        <sz val="11"/>
        <color theme="1"/>
        <rFont val="Calibri"/>
        <family val="2"/>
        <scheme val="minor"/>
      </rPr>
      <t>including both of the following practices:</t>
    </r>
  </si>
  <si>
    <t>(a)  South-facing glass shall be shaded in accordance with the following table that shows the required south-facing window overhang depth (to minimize overheating in cooling season):</t>
  </si>
  <si>
    <t>(b)  Internal exposed thermal mass of at least three inches thick for a minimum of one-third of gross finished floor area.</t>
  </si>
  <si>
    <r>
      <rPr>
        <b/>
        <sz val="11"/>
        <color theme="1"/>
        <rFont val="Calibri"/>
        <family val="2"/>
        <scheme val="minor"/>
      </rPr>
      <t>Whole building ventilation</t>
    </r>
    <r>
      <rPr>
        <sz val="11"/>
        <color theme="1"/>
        <rFont val="Calibri"/>
        <family val="2"/>
        <scheme val="minor"/>
      </rPr>
      <t xml:space="preserve"> is implemented</t>
    </r>
    <r>
      <rPr>
        <sz val="11"/>
        <color rgb="FFFF0000"/>
        <rFont val="Calibri"/>
        <family val="2"/>
        <scheme val="minor"/>
      </rPr>
      <t xml:space="preserve"> in accordance with 2013 or 2016 ASHRAE 62.2 as evidenced by Air Leakage Report.</t>
    </r>
  </si>
  <si>
    <t>2024.08</t>
  </si>
  <si>
    <t>In Compliance, Radon Zone 1</t>
  </si>
  <si>
    <t>Mandatory
in Radon Zone 1</t>
  </si>
  <si>
    <t>PointList53</t>
  </si>
  <si>
    <r>
      <t xml:space="preserve">Based solely on the </t>
    </r>
    <r>
      <rPr>
        <b/>
        <sz val="14"/>
        <color theme="1"/>
        <rFont val="Calibri"/>
        <family val="2"/>
        <scheme val="minor"/>
      </rPr>
      <t>water efficiency points</t>
    </r>
    <r>
      <rPr>
        <sz val="14"/>
        <color theme="1"/>
        <rFont val="Calibri"/>
        <family val="2"/>
        <scheme val="minor"/>
      </rPr>
      <t xml:space="preserve"> achieved, the highest certification level that can be achieved in the water efficiency section is shown.  Water efficiency points required for the various levels of certification are:  Gold 12 and Emerald 18.</t>
    </r>
  </si>
  <si>
    <t>Total Points Required for Certification:  Gold = 45 Points, Emerald = 60 Points</t>
  </si>
  <si>
    <t>The overall UA of homes permitted on or after August, 1, 2024 must be equal to or lower than the overall UA of the reference home as reported on the 2021 IECC Building UA Compliance Report as modified by New Mexico.  Alternatively, compliance can be satisfied by demonstrating an overall UA that is equal to or lower than the overall UA of the reference home per the BGNM 2021 NM Residential Energy Conservation Code Trade-off Worksheet included in this workbook.  The Green Verifier must submit a PDF copy of either report to demonstrate compliance.</t>
  </si>
  <si>
    <r>
      <t>Additional points if HERS index is less than HERS Index required for Gold level certification, up to a maximum of 25 additional points.</t>
    </r>
    <r>
      <rPr>
        <sz val="11"/>
        <color theme="1"/>
        <rFont val="Calibri"/>
        <family val="2"/>
        <scheme val="minor"/>
      </rPr>
      <t xml:space="preserve">  A better HERS index can be used to earn these points.  RESNET-certified HERS rater shall provide copy of Home Energy Rating Certificate for as-built home showing RESNET Registry ID number.  Points will be automatically calculated based on the HERS index entered above.</t>
    </r>
  </si>
  <si>
    <r>
      <rPr>
        <b/>
        <sz val="11"/>
        <color theme="1"/>
        <rFont val="Calibri"/>
        <family val="2"/>
        <scheme val="minor"/>
      </rPr>
      <t>Overall UA of thermal enclosure systems of conditioned volumes of homes</t>
    </r>
    <r>
      <rPr>
        <sz val="11"/>
        <color theme="1"/>
        <rFont val="Calibri"/>
        <family val="2"/>
        <scheme val="minor"/>
      </rPr>
      <t xml:space="preserve"> - BGNM requires that the Overall UA of homes be at least as good as the NM approved 2021 IECC reference home to be certified or the NM approved 2021 IECC trade-off worksheet. </t>
    </r>
  </si>
  <si>
    <r>
      <t xml:space="preserve">(a)  </t>
    </r>
    <r>
      <rPr>
        <b/>
        <sz val="11"/>
        <color theme="1"/>
        <rFont val="Calibri"/>
        <family val="2"/>
        <scheme val="minor"/>
      </rPr>
      <t>Efficacy of light bulbs</t>
    </r>
    <r>
      <rPr>
        <sz val="11"/>
        <color theme="1"/>
        <rFont val="Calibri"/>
        <family val="2"/>
        <scheme val="minor"/>
      </rPr>
      <t xml:space="preserve"> - Not less than 90% of permanently installed lighting fixtures shall contain only high-efficacy bulbs (lamps).
</t>
    </r>
    <r>
      <rPr>
        <sz val="11"/>
        <color rgb="FFFF0000"/>
        <rFont val="Calibri"/>
        <family val="2"/>
        <scheme val="minor"/>
      </rPr>
      <t>Note:  Mandatory for BGNM certification</t>
    </r>
  </si>
  <si>
    <t>PointList54</t>
  </si>
  <si>
    <t>N/A, Not in Rio Rancho</t>
  </si>
  <si>
    <t>Is the home compliant with the definition of 'broadband ready' as described above? --&gt;</t>
  </si>
  <si>
    <r>
      <rPr>
        <b/>
        <sz val="11"/>
        <color theme="1"/>
        <rFont val="Calibri"/>
        <family val="2"/>
        <scheme val="minor"/>
      </rPr>
      <t xml:space="preserve">Electric Vehicle Ready </t>
    </r>
    <r>
      <rPr>
        <b/>
        <sz val="11"/>
        <color rgb="FFFF0000"/>
        <rFont val="Calibri"/>
        <family val="2"/>
        <scheme val="minor"/>
      </rPr>
      <t>(REQUIRED FOR 2021 SBTC)</t>
    </r>
    <r>
      <rPr>
        <sz val="11"/>
        <color theme="1"/>
        <rFont val="Calibri"/>
        <family val="2"/>
        <scheme val="minor"/>
      </rPr>
      <t xml:space="preserve"> - for single family residential buildings at least one parking space with one forty-ampere, two-hundred-eight-volt or two-hundred-forty-volt dedicated branch circuit for EV charger that terminates in a suitable termination point, such as a receptacle or junction box, and is located in reasonably close proximity to the proposed location of the parking spaces.  Note that the NM 2021 Sustainable Building Tax Credit requires all buildings must be 'electrical vehicle ready' to qualify for the 2021 Sustainable Building Tax Credit.  </t>
    </r>
    <r>
      <rPr>
        <sz val="11"/>
        <color rgb="FFFF0000"/>
        <rFont val="Calibri"/>
        <family val="2"/>
        <scheme val="minor"/>
      </rPr>
      <t>Must provide photo of labeled circuit breaker to allow these points.</t>
    </r>
  </si>
  <si>
    <t>Is the home compliant with the definition of 'electric vehicle ready' as described above? -----&gt;</t>
  </si>
  <si>
    <r>
      <t xml:space="preserve">Was this home certified ENERGY STAR, ENERGY STAR NextGen, or Zero Energy Ready Home (ZERH). ------&gt;
</t>
    </r>
    <r>
      <rPr>
        <b/>
        <sz val="11"/>
        <color rgb="FFFF0000"/>
        <rFont val="Calibri"/>
        <family val="2"/>
        <scheme val="minor"/>
      </rPr>
      <t xml:space="preserve">Note:  If this home has been certified by any of the above certification programs, Verifier must submit the applicable certification(s) and the remaining energy efficiency practices may be skipped.  Verifier should confirm that the project satisfies all required energy efficiency practices by reviewing the summary for the energy efficiency section at the bottom of the energy efficiency section, below, and then proceed to the water efficiency section.
</t>
    </r>
  </si>
  <si>
    <t>(a)  Start-up procedure is performed in accordance with the manufacturer's instructions and voltage is checked per manufacturer's instructions.</t>
  </si>
  <si>
    <r>
      <rPr>
        <b/>
        <sz val="11"/>
        <rFont val="Calibri"/>
        <family val="2"/>
        <scheme val="minor"/>
      </rPr>
      <t>Skylights and tubular daylighting devices.</t>
    </r>
    <r>
      <rPr>
        <sz val="11"/>
        <rFont val="Calibri"/>
        <family val="2"/>
        <scheme val="minor"/>
      </rPr>
      <t xml:space="preserve">  Skylights or tubular daylighting devices installed in areas/rooms without windows OR areas/rooms without windows equipped with motion and light sensors to automatically turn lighting on if ambient light is low and the space is occupied and turn lighting off if the space is not occupied.  Allow 1 point for one area without windows or 2 points for 2 or more areas.</t>
    </r>
  </si>
  <si>
    <r>
      <rPr>
        <b/>
        <sz val="11"/>
        <color theme="1"/>
        <rFont val="Calibri"/>
        <family val="2"/>
        <scheme val="minor"/>
      </rPr>
      <t>Thermal Enclosure Checklist.</t>
    </r>
    <r>
      <rPr>
        <sz val="11"/>
        <color theme="1"/>
        <rFont val="Calibri"/>
        <family val="2"/>
        <scheme val="minor"/>
      </rPr>
      <t xml:space="preserve">  BGNM requires that '8 Thermal Enclosure Checklist' be completed.  Note that the checklist must be completed by the Verifier and submitted to both the builder and BGNM.  See '8 Thermal Enclosure Checklist' for form.</t>
    </r>
  </si>
  <si>
    <t>Vertical Distance Between Bottom of Overhang and Bottom of Window</t>
  </si>
  <si>
    <t>Reserved</t>
  </si>
  <si>
    <r>
      <t xml:space="preserve">Was this home certified using the Water Efficiency Rating Score (WERS) program or the EPA WaterSense program (rather than the BGNM WEiR Index system)?  -----&gt;
</t>
    </r>
    <r>
      <rPr>
        <b/>
        <sz val="11"/>
        <color rgb="FFFF0000"/>
        <rFont val="Calibri"/>
        <family val="2"/>
        <scheme val="minor"/>
      </rPr>
      <t xml:space="preserve">Note:  If this home has been certified using the WERS or EPA WaterSense programs, Verifier must submit those certification documents and the remaining water efficiency practices may be skipped.  Verifier should confirm that the project satisfies all required water efficiency practices by reviewing the summary for the water efficiency section at the bottom of the water efficiency section, below, and then proceed to the IAQ section.
</t>
    </r>
  </si>
  <si>
    <t>(d)  Trees with a caliper of 1-1/2 inches or greater and selected for the appropriate region and water use of medium or lower qualify for 1 point/tree (3 points maximum).  Fruit trees are exempt from the water use requirement but must have a caliper of 1-1/2 inches or greater also qualify for these points.  Qualifying tree species and caliper sizes must be included in Notes for points.</t>
  </si>
  <si>
    <r>
      <t xml:space="preserve">(a)  Irrigation system water supply shall be stubbed out in a location(s) to service the front, rear and any other landscape areas to be irrigated on the property.  Water stubouts shall be below the frost line and include irrigation wiring of sufficient number to accommodate future zones of landscape needs on the property.  </t>
    </r>
    <r>
      <rPr>
        <b/>
        <sz val="11"/>
        <color rgb="FFFF0000"/>
        <rFont val="Calibri"/>
        <family val="2"/>
        <scheme val="minor"/>
      </rPr>
      <t>Be aware that irrigation system water supply stubouts below the frost line is required for NM SBTC.</t>
    </r>
  </si>
  <si>
    <t>PointList55</t>
  </si>
  <si>
    <t>Verified =&gt; 100 CFM</t>
  </si>
  <si>
    <t>Exhausted But Not Tested</t>
  </si>
  <si>
    <r>
      <t xml:space="preserve">(e)  Balancing of whole building ventilation systems in practices 3.2.1 (b) or 3.2.1 (c) to produce slightly positive or even pressure difference between conditioned space of home to outside (no negative pressure difference). </t>
    </r>
    <r>
      <rPr>
        <sz val="11"/>
        <color rgb="FFFF0000"/>
        <rFont val="Calibri"/>
        <family val="2"/>
        <scheme val="minor"/>
      </rPr>
      <t xml:space="preserve"> Verifier must document pressure difference in Notes column to award points.</t>
    </r>
  </si>
  <si>
    <t>PointList56</t>
  </si>
  <si>
    <t>Exhaust Only, NOT Balanced</t>
  </si>
  <si>
    <t>Supply Only, NOT Balanced</t>
  </si>
  <si>
    <t>Builder must have documentation available for Verifier if claiming points for this practice</t>
  </si>
  <si>
    <t>No fireplace, wood stove, pellet stove or masonry heater is installed regardless of fuel source.</t>
  </si>
  <si>
    <r>
      <rPr>
        <b/>
        <sz val="11"/>
        <color theme="1"/>
        <rFont val="Calibri"/>
        <family val="2"/>
        <scheme val="minor"/>
      </rPr>
      <t>Garage Exhaust Fan.</t>
    </r>
    <r>
      <rPr>
        <sz val="11"/>
        <color theme="1"/>
        <rFont val="Calibri"/>
        <family val="2"/>
        <scheme val="minor"/>
      </rPr>
      <t xml:space="preserve">  An exhaust fan is installed in the garage and vented to the outdoors.  For intermittent use, a 100 CFM fan must have a control to activate the fan when the garage door is opened or closed and controlled to operate for 1 hour.  For continuous use, a 50 CFM fan is required.  Fans may be larger if specified in the building plans.  </t>
    </r>
    <r>
      <rPr>
        <sz val="11"/>
        <color rgb="FFFF0000"/>
        <rFont val="Calibri"/>
        <family val="2"/>
        <scheme val="minor"/>
      </rPr>
      <t>Describe how system operates in Notes column.</t>
    </r>
  </si>
  <si>
    <r>
      <rPr>
        <b/>
        <sz val="11"/>
        <color theme="1"/>
        <rFont val="Calibri"/>
        <family val="2"/>
        <scheme val="minor"/>
      </rPr>
      <t>Density</t>
    </r>
    <r>
      <rPr>
        <sz val="11"/>
        <color theme="1"/>
        <rFont val="Calibri"/>
        <family val="2"/>
        <scheme val="minor"/>
      </rPr>
      <t xml:space="preserve"> of seven dwelling units per acre or greater (1 point),  15 or greater (2 pts), or &gt;20 dwelling units per acre (3 pts).  </t>
    </r>
    <r>
      <rPr>
        <sz val="11"/>
        <color rgb="FFFF0000"/>
        <rFont val="Calibri"/>
        <family val="2"/>
        <scheme val="minor"/>
      </rPr>
      <t>Show math.</t>
    </r>
  </si>
  <si>
    <r>
      <rPr>
        <b/>
        <sz val="11"/>
        <color theme="1"/>
        <rFont val="Calibri"/>
        <family val="2"/>
        <scheme val="minor"/>
      </rPr>
      <t xml:space="preserve">Outdoor Lighting: </t>
    </r>
    <r>
      <rPr>
        <sz val="11"/>
        <color theme="1"/>
        <rFont val="Calibri"/>
        <family val="2"/>
        <scheme val="minor"/>
      </rPr>
      <t xml:space="preserve"> Outdoor lighting techniques (down lighting) are utilized with regard for "night sky" preservation.  </t>
    </r>
    <r>
      <rPr>
        <sz val="11"/>
        <color rgb="FFFF0000"/>
        <rFont val="Calibri"/>
        <family val="2"/>
        <scheme val="minor"/>
      </rPr>
      <t>Provide photo(s) evidencing compliance</t>
    </r>
  </si>
  <si>
    <r>
      <t xml:space="preserve">Source-Verified 'Good Wood' (SVGW) products are utilized.  </t>
    </r>
    <r>
      <rPr>
        <sz val="11"/>
        <color theme="1"/>
        <rFont val="Calibri"/>
        <family val="2"/>
        <scheme val="minor"/>
      </rPr>
      <t xml:space="preserve">SVGW products are from managed forests in New Mexico and adjoining border states.  Wood products from the source (point of harvest) through point of sale is tracked through a chain of custody system.  These wood products have been made from wood harvested for the purpose of restoring and protecting the source forests and watersheds.  </t>
    </r>
    <r>
      <rPr>
        <sz val="11"/>
        <color rgb="FFFF0000"/>
        <rFont val="Calibri"/>
        <family val="2"/>
        <scheme val="minor"/>
      </rPr>
      <t>Documentation including photos of SVGW products used and evidence that the products are SVGW-certified are required to award these points.</t>
    </r>
  </si>
  <si>
    <r>
      <rPr>
        <b/>
        <sz val="11"/>
        <color theme="1"/>
        <rFont val="Calibri"/>
        <family val="2"/>
        <scheme val="minor"/>
      </rPr>
      <t>Placeholders</t>
    </r>
    <r>
      <rPr>
        <sz val="11"/>
        <color theme="1"/>
        <rFont val="Calibri"/>
        <family val="2"/>
        <scheme val="minor"/>
      </rPr>
      <t xml:space="preserve"> for Build Green NM Certificate (to be provided by BGNM) and HERS Certificate shall be included in the Homeowner's Manual.</t>
    </r>
  </si>
  <si>
    <r>
      <rPr>
        <b/>
        <sz val="11"/>
        <color theme="1"/>
        <rFont val="Calibri"/>
        <family val="2"/>
        <scheme val="minor"/>
      </rPr>
      <t>Label of BGNM certification for home</t>
    </r>
    <r>
      <rPr>
        <sz val="11"/>
        <color theme="1"/>
        <rFont val="Calibri"/>
        <family val="2"/>
        <scheme val="minor"/>
      </rPr>
      <t xml:space="preserve"> (provided by Build Green NM) shall be included in the Homeowner's Manual.</t>
    </r>
  </si>
  <si>
    <r>
      <rPr>
        <b/>
        <sz val="11"/>
        <color theme="1"/>
        <rFont val="Calibri"/>
        <family val="2"/>
        <scheme val="minor"/>
      </rPr>
      <t>Placeholder for Certification Checklist</t>
    </r>
    <r>
      <rPr>
        <sz val="11"/>
        <color theme="1"/>
        <rFont val="Calibri"/>
        <family val="2"/>
        <scheme val="minor"/>
      </rPr>
      <t xml:space="preserve"> as verified and certified by Build Green NM (including builder claimed practices) Shall be included in the Homeowner's Manual.</t>
    </r>
  </si>
  <si>
    <t>Placeholder tab in Homeowner's Manual</t>
  </si>
  <si>
    <t>Was this home certified using the EPA WaterSense program or WERS program including outdoor water use?</t>
  </si>
  <si>
    <t>Verifier must perform a water leakage test to earn points for practice 2.4.10.  To perform the test, follow these steps:  (1) attach a water pressure gauge, (2) measure &amp; record the beginning pressure, (3) turn the main water valve off, (4) wait at least 10 minutes, (5) measure &amp; record the ending pressure, (6) turn the main water valve back on.  If the beginning and ending water pressure measurements remain the same there is no water leak and the home passes the water leakage test.</t>
  </si>
  <si>
    <t>Was a Water Leakage Test Performed (Mandatory)?</t>
  </si>
  <si>
    <t>Indoor Water Efficiency Rating (WEiR)</t>
  </si>
  <si>
    <t>(from '3 Project
Information Page)</t>
  </si>
  <si>
    <t>Thermal enclosure system of home (floors, walls, ceilings, fenestration, etc.) satisfies the Overall UA requirement of the 2021 IECC if permitted after July 31, 2024, or the 2018 IECC if permitted after Feb 28, 2021, or the 2015 IECC if permitted before Mar 1, 2021.</t>
  </si>
  <si>
    <t>Redesigned this workbook as specified by Steve Hale.</t>
  </si>
  <si>
    <t>Has Green Verifier obtained copies of ACCA Manual J load report and ACCA Manual S equipment sizing report (or equivalent reports) AND does the equipment in the Manual S match with the information in the '5 HVAC Design &amp; Commissioning Report'?</t>
  </si>
  <si>
    <r>
      <rPr>
        <b/>
        <sz val="11"/>
        <color theme="1"/>
        <rFont val="Calibri"/>
        <family val="2"/>
        <scheme val="minor"/>
      </rPr>
      <t xml:space="preserve">Raised heel trusses. </t>
    </r>
    <r>
      <rPr>
        <sz val="11"/>
        <color theme="1"/>
        <rFont val="Calibri"/>
        <family val="2"/>
        <scheme val="minor"/>
      </rPr>
      <t xml:space="preserve"> Pitched roofs may use raised heel trusses (or BCIs or similar) for all ceiling/roof structures of the home to accommodate greater insulation R-value over the top plates of all exterior walls.  Flat roofs that accommodate the full R-value over the top plates of all exterior walls also qualify.  R-38 required for CZ 3, R-49 required for all other CZs.  </t>
    </r>
    <r>
      <rPr>
        <sz val="11"/>
        <color rgb="FFFF0000"/>
        <rFont val="Calibri"/>
        <family val="2"/>
        <scheme val="minor"/>
      </rPr>
      <t>Must enter depth of raised heel space from top of top plates to bottom of roof sheathing below.</t>
    </r>
  </si>
  <si>
    <t>Depth of raised heel space from top of top plate to bottom of roof sheathing (use worst-case if various) --&gt;</t>
  </si>
  <si>
    <t>PointList57</t>
  </si>
  <si>
    <t>12 to 14.9 Inches</t>
  </si>
  <si>
    <t>15 Inches or Greater</t>
  </si>
  <si>
    <t>Less Than 12 Inches</t>
  </si>
  <si>
    <t>(d)  When building leakage is &lt;= 2.0 ACH50 and the home is ventilated with a balanced ventilation system, HRV or ERV, 2 points can be awarded.</t>
  </si>
  <si>
    <r>
      <rPr>
        <b/>
        <sz val="11"/>
        <color theme="1"/>
        <rFont val="Calibri"/>
        <family val="2"/>
        <scheme val="minor"/>
      </rPr>
      <t>Type of ventilation system installed in the home</t>
    </r>
    <r>
      <rPr>
        <sz val="11"/>
        <color theme="1"/>
        <rFont val="Calibri"/>
        <family val="2"/>
        <scheme val="minor"/>
      </rPr>
      <t xml:space="preserve">. </t>
    </r>
    <r>
      <rPr>
        <sz val="11"/>
        <color rgb="FFFF0000"/>
        <rFont val="Calibri"/>
        <family val="2"/>
        <scheme val="minor"/>
      </rPr>
      <t xml:space="preserve"> If building air leakage is &lt;= 2.0 ACH50, vetilation system must be Balanced Ventilation OR HRV OR ERV to qualify for these points.</t>
    </r>
    <r>
      <rPr>
        <sz val="11"/>
        <color theme="1"/>
        <rFont val="Calibri"/>
        <family val="2"/>
        <scheme val="minor"/>
      </rPr>
      <t xml:space="preserve"> ----&gt;</t>
    </r>
  </si>
  <si>
    <r>
      <rPr>
        <b/>
        <sz val="11"/>
        <color theme="1"/>
        <rFont val="Calibri"/>
        <family val="2"/>
        <scheme val="minor"/>
      </rPr>
      <t>Building enclosure air leakage</t>
    </r>
    <r>
      <rPr>
        <sz val="11"/>
        <color theme="1"/>
        <rFont val="Calibri"/>
        <family val="2"/>
        <scheme val="minor"/>
      </rPr>
      <t xml:space="preserve"> in air changes per hour tested with 50 Pascals pressure difference (ACH50, from practice 1.2.4) ----&gt;</t>
    </r>
  </si>
  <si>
    <t>Exhaust or Supply, BALANCED</t>
  </si>
  <si>
    <r>
      <t xml:space="preserve">Does the home have an </t>
    </r>
    <r>
      <rPr>
        <b/>
        <sz val="14"/>
        <color theme="1"/>
        <rFont val="Calibri"/>
        <family val="2"/>
        <scheme val="minor"/>
      </rPr>
      <t>HRV or ERV for whole-house ventilation required for Emerald level certification</t>
    </r>
    <r>
      <rPr>
        <sz val="14"/>
        <color theme="1"/>
        <rFont val="Calibri"/>
        <family val="2"/>
        <scheme val="minor"/>
      </rPr>
      <t>?  (See Practice 3.0, above)?</t>
    </r>
  </si>
  <si>
    <r>
      <rPr>
        <b/>
        <sz val="11"/>
        <color theme="1"/>
        <rFont val="Calibri"/>
        <family val="2"/>
        <scheme val="minor"/>
      </rPr>
      <t>(c) MERV Filter Rating of INSTALLED Filter(s)</t>
    </r>
    <r>
      <rPr>
        <sz val="11"/>
        <color theme="1"/>
        <rFont val="Calibri"/>
        <family val="2"/>
        <scheme val="minor"/>
      </rPr>
      <t xml:space="preserve"> - Enter worst-case MERV rating of filter(s) installed in the home.  Can earn 1 point if the worst-case MERV rating of installed filter(s) is at least MERV 8, MERV rating of installed filter(s) is not greater than the maximum MERV rating for which the system is designed for, and the required labeling (see (b), above) is present.</t>
    </r>
  </si>
  <si>
    <t>Total points required for Gold certification = 45, or Emerald certification = 60.</t>
  </si>
  <si>
    <t>NOTES ABOUT WORKSHEETS DATA ENTRY BEHAVIOR: (1) If text is not visible on any row because the row height is not great enough, the row height can be increased by the user by right clicking on the row number on the left and increasing the row height.  (2)  After entering data in an input cell if the Return or Enter key is selected, the cursor may jump to a random cell in the sheet.  This can be avoided by using the Tab key instead so the cursor will move to the next data input cell on the sheet.</t>
  </si>
  <si>
    <r>
      <t xml:space="preserve">(a) Water leakage and water pressure test.  </t>
    </r>
    <r>
      <rPr>
        <sz val="11"/>
        <color theme="1"/>
        <rFont val="Calibri"/>
        <family val="2"/>
        <scheme val="minor"/>
      </rPr>
      <t xml:space="preserve">BGNM  requires that the water pressure be recorded and the plumbing system checked for water leakage.  Submission shall include a photo of water pressure gauge taken before house line is shut off and then 10 minutes later before water is turned back on.  Both photos shall be taken straight-on to the gauge.  If a pressure drop of 1 PSI or greater is detected or the water pressure is greater than 80 PSI, a notice shall be sent to the builder by the Verifier with a copy of the notice submitted to BGNM.  </t>
    </r>
    <r>
      <rPr>
        <sz val="11"/>
        <color rgb="FFFF0000"/>
        <rFont val="Calibri"/>
        <family val="2"/>
        <scheme val="minor"/>
      </rPr>
      <t>Photos of the water pressure gauge must be provided for the water pressure test.</t>
    </r>
  </si>
  <si>
    <r>
      <rPr>
        <b/>
        <sz val="11"/>
        <color theme="1"/>
        <rFont val="Calibri"/>
        <family val="2"/>
        <scheme val="minor"/>
      </rPr>
      <t>(b)  Optional:  Installation of accessable water shutoff shutoff, PRV and water pressure gauges.</t>
    </r>
    <r>
      <rPr>
        <sz val="11"/>
        <color theme="1"/>
        <rFont val="Calibri"/>
        <family val="2"/>
        <scheme val="minor"/>
      </rPr>
      <t xml:space="preserve">  Installation shall be in a location within easy reach for the homeowner.  There shall be ball valve shutoffs used instead of gate valves.  Similar to the photo below, from the water inlet the system shall have a ball valve, a pressure gauge, a union coupling, a pressure relief valve, a second union coupling, a second pressure gauge, and a second ball valve.  </t>
    </r>
    <r>
      <rPr>
        <sz val="11"/>
        <color rgb="FFFF0000"/>
        <rFont val="Calibri"/>
        <family val="2"/>
        <scheme val="minor"/>
      </rPr>
      <t xml:space="preserve">Photo of this setup shall be provided. </t>
    </r>
  </si>
  <si>
    <t>Changed practice 2.4.10 on tab '4 Scoring &amp; Verification', water leak and water pressure test, as directed by Steve Hale.</t>
  </si>
  <si>
    <t>Fixed issue in energy section of tab '4 Scoring &amp; Verification' that resulted in 'cannot certify' when HERS Index was at emerald level but points in energy section were less than points required for emerald level certification in the energy section.</t>
  </si>
  <si>
    <t xml:space="preserve">Total Points
Required </t>
  </si>
  <si>
    <r>
      <rPr>
        <u/>
        <sz val="11"/>
        <color theme="1"/>
        <rFont val="Calibri"/>
        <family val="2"/>
        <scheme val="minor"/>
      </rPr>
      <t>HERS Index</t>
    </r>
    <r>
      <rPr>
        <sz val="11"/>
        <color theme="1"/>
        <rFont val="Calibri"/>
        <family val="2"/>
        <scheme val="minor"/>
      </rPr>
      <t xml:space="preserve">
CZ 3:    ≤ 67
CZ 4:    ≤ 72
CZ 5+:  ≤ 74
</t>
    </r>
  </si>
  <si>
    <r>
      <rPr>
        <u/>
        <sz val="11"/>
        <color theme="1"/>
        <rFont val="Calibri"/>
        <family val="2"/>
        <scheme val="minor"/>
      </rPr>
      <t>HERS Index</t>
    </r>
    <r>
      <rPr>
        <sz val="11"/>
        <color theme="1"/>
        <rFont val="Calibri"/>
        <family val="2"/>
        <scheme val="minor"/>
      </rPr>
      <t xml:space="preserve">
CZ 3:    ≤ 47
CZ 4:    ≤ 51
CZ 5+:  ≤ 52
&gt;= 10 Points required</t>
    </r>
  </si>
  <si>
    <r>
      <rPr>
        <u/>
        <sz val="11"/>
        <color theme="1"/>
        <rFont val="Calibri"/>
        <family val="2"/>
        <scheme val="minor"/>
      </rPr>
      <t>HERS Index</t>
    </r>
    <r>
      <rPr>
        <sz val="11"/>
        <color theme="1"/>
        <rFont val="Calibri"/>
        <family val="2"/>
        <scheme val="minor"/>
      </rPr>
      <t xml:space="preserve">
CZ 3:    ≤ 40
CZ 4:    ≤ 43
CZ 5+:  ≤ 44
&gt;= 15 Points Required</t>
    </r>
  </si>
  <si>
    <t>25% Savings Indoor + outdoor savings
&gt;= 12 Points Required</t>
  </si>
  <si>
    <t>25% Savings Indoor + outdoor savings
&gt;= 18 Points Required</t>
  </si>
  <si>
    <t>Additional testing and checklists.
&gt;= 10 Points Required</t>
  </si>
  <si>
    <t>ERV Required + Additional testing and checklists.
&gt;= 15 Points Required</t>
  </si>
  <si>
    <t>Added points required on tab ' 1 BGNM Certification Overview' in energy, water and IAQ sections for gold or emerald level certification.</t>
  </si>
  <si>
    <t>Added language on tab '4 Scoring &amp; Verification', practice 3.6.3 disallowing pit collection of radon gas after March 1, 2025.</t>
  </si>
  <si>
    <r>
      <t xml:space="preserve">Radon Zone 1 -- </t>
    </r>
    <r>
      <rPr>
        <sz val="11"/>
        <color theme="1"/>
        <rFont val="Calibri"/>
        <family val="2"/>
        <scheme val="minor"/>
      </rPr>
      <t xml:space="preserve">EPA Recognized Radon practice: Vapor barrier over layer of aggregate with passive vent thru roof, OR perimeter perforated pipe under vapor barrier with venting thru roof, OR BGNM-approved product installed per manufacturer's instructions, OR for monopour foundations length of perforated pipe laid in interior plumbing trenches equal to 80% of building width plus depth of home and under vapor barrier and vented thru roof.  </t>
    </r>
    <r>
      <rPr>
        <sz val="11"/>
        <color rgb="FFFF0000"/>
        <rFont val="Calibri"/>
        <family val="2"/>
        <scheme val="minor"/>
      </rPr>
      <t xml:space="preserve">'Pit collection' for radon gas is not allowed in Radon Zone 1 after March 1, 2025.  Proper radon mitigation practice shall be shown on building plans.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</si>
</sst>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
    <numFmt numFmtId="166" formatCode="[$-409]d\-mmm\-yy;@"/>
    <numFmt numFmtId="167" formatCode="[$-409]d\-mmm\-yyyy;@"/>
    <numFmt numFmtId="168" formatCode="#,##0.0000"/>
    <numFmt numFmtId="169" formatCode="#,##0.0"/>
    <numFmt numFmtId="170" formatCode="[$-409]mmmm\ d\,\ yyyy;@"/>
    <numFmt numFmtId="171" formatCode="\(###\)\ ###\-####"/>
  </numFmts>
  <fonts count="102" x14ac:knownFonts="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1"/>
      <color theme="3"/>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24"/>
      <color theme="1"/>
      <name val="Calibri"/>
      <family val="2"/>
      <scheme val="minor"/>
    </font>
    <font>
      <sz val="8"/>
      <color theme="1"/>
      <name val="Calibri"/>
      <family val="2"/>
      <scheme val="minor"/>
    </font>
    <font>
      <b/>
      <sz val="14"/>
      <color theme="1"/>
      <name val="Calibri"/>
      <family val="2"/>
      <scheme val="minor"/>
    </font>
    <font>
      <sz val="14"/>
      <color theme="1"/>
      <name val="Calibri"/>
      <family val="2"/>
      <scheme val="minor"/>
    </font>
    <font>
      <sz val="9"/>
      <color rgb="FF0070C0"/>
      <name val="Calibri"/>
      <family val="2"/>
      <scheme val="minor"/>
    </font>
    <font>
      <b/>
      <sz val="18"/>
      <color theme="1"/>
      <name val="Calibri"/>
      <family val="2"/>
      <scheme val="minor"/>
    </font>
    <font>
      <sz val="9"/>
      <color theme="1"/>
      <name val="Calibri"/>
      <family val="2"/>
      <scheme val="minor"/>
    </font>
    <font>
      <sz val="8"/>
      <color rgb="FF0000FF"/>
      <name val="Calibri"/>
      <family val="2"/>
      <scheme val="minor"/>
    </font>
    <font>
      <b/>
      <sz val="11"/>
      <name val="Calibri"/>
      <family val="2"/>
      <scheme val="minor"/>
    </font>
    <font>
      <sz val="11"/>
      <name val="Calibri"/>
      <family val="2"/>
      <scheme val="minor"/>
    </font>
    <font>
      <u/>
      <sz val="11"/>
      <color theme="1"/>
      <name val="Calibri"/>
      <family val="2"/>
      <scheme val="minor"/>
    </font>
    <font>
      <u/>
      <sz val="11"/>
      <color theme="10"/>
      <name val="Calibri"/>
      <family val="2"/>
      <scheme val="minor"/>
    </font>
    <font>
      <i/>
      <sz val="11"/>
      <color theme="1"/>
      <name val="Calibri"/>
      <family val="2"/>
      <scheme val="minor"/>
    </font>
    <font>
      <b/>
      <sz val="14"/>
      <color theme="0"/>
      <name val="Calibri"/>
      <family val="2"/>
      <scheme val="minor"/>
    </font>
    <font>
      <b/>
      <u/>
      <sz val="12"/>
      <color theme="1"/>
      <name val="Calibri"/>
      <family val="2"/>
      <scheme val="minor"/>
    </font>
    <font>
      <b/>
      <sz val="16"/>
      <color theme="1"/>
      <name val="Calibri"/>
      <family val="2"/>
      <scheme val="minor"/>
    </font>
    <font>
      <sz val="12"/>
      <color theme="1"/>
      <name val="Calibri"/>
      <family val="2"/>
      <scheme val="minor"/>
    </font>
    <font>
      <b/>
      <sz val="12"/>
      <color theme="1"/>
      <name val="Calibri"/>
      <family val="2"/>
      <scheme val="minor"/>
    </font>
    <font>
      <b/>
      <sz val="12"/>
      <color rgb="FF002060"/>
      <name val="Calibri"/>
      <family val="2"/>
      <scheme val="minor"/>
    </font>
    <font>
      <b/>
      <sz val="11"/>
      <color rgb="FFFF0000"/>
      <name val="Calibri"/>
      <family val="2"/>
      <scheme val="minor"/>
    </font>
    <font>
      <b/>
      <sz val="11"/>
      <color theme="1"/>
      <name val="Calibri"/>
      <family val="2"/>
    </font>
    <font>
      <b/>
      <u/>
      <sz val="11"/>
      <color theme="1"/>
      <name val="Calibri"/>
      <family val="2"/>
      <scheme val="minor"/>
    </font>
    <font>
      <sz val="11"/>
      <color theme="1"/>
      <name val="Calibri"/>
      <family val="2"/>
    </font>
    <font>
      <b/>
      <sz val="10"/>
      <color theme="1"/>
      <name val="Calibri"/>
      <family val="2"/>
      <scheme val="minor"/>
    </font>
    <font>
      <b/>
      <sz val="11"/>
      <color theme="0" tint="-4.9989318521683403E-2"/>
      <name val="Calibri"/>
      <family val="2"/>
      <scheme val="minor"/>
    </font>
    <font>
      <b/>
      <sz val="9"/>
      <color theme="1"/>
      <name val="Calibri"/>
      <family val="2"/>
      <scheme val="minor"/>
    </font>
    <font>
      <b/>
      <sz val="9"/>
      <color rgb="FFFF0000"/>
      <name val="Calibri"/>
      <family val="2"/>
      <scheme val="minor"/>
    </font>
    <font>
      <b/>
      <sz val="14"/>
      <color rgb="FFFF0000"/>
      <name val="Calibri"/>
      <family val="2"/>
      <scheme val="minor"/>
    </font>
    <font>
      <sz val="11"/>
      <color rgb="FF000000"/>
      <name val="Calibri"/>
      <family val="2"/>
      <scheme val="minor"/>
    </font>
    <font>
      <b/>
      <sz val="9"/>
      <color theme="0"/>
      <name val="Calibri"/>
      <family val="2"/>
      <scheme val="minor"/>
    </font>
    <font>
      <sz val="10.45"/>
      <color theme="1"/>
      <name val="Calibri"/>
      <family val="2"/>
    </font>
    <font>
      <b/>
      <sz val="16"/>
      <color theme="0"/>
      <name val="Calibri"/>
      <family val="2"/>
      <scheme val="minor"/>
    </font>
    <font>
      <sz val="16"/>
      <color theme="1"/>
      <name val="Calibri"/>
      <family val="2"/>
      <scheme val="minor"/>
    </font>
    <font>
      <b/>
      <sz val="10"/>
      <color rgb="FFFF0000"/>
      <name val="Calibri"/>
      <family val="2"/>
      <scheme val="minor"/>
    </font>
    <font>
      <b/>
      <sz val="16"/>
      <color rgb="FF0000FF"/>
      <name val="Calibri"/>
      <family val="2"/>
      <scheme val="minor"/>
    </font>
    <font>
      <sz val="10"/>
      <color rgb="FFFF0000"/>
      <name val="Calibri"/>
      <family val="2"/>
      <scheme val="minor"/>
    </font>
    <font>
      <sz val="10"/>
      <color theme="1"/>
      <name val="Calibri"/>
      <family val="2"/>
      <scheme val="minor"/>
    </font>
    <font>
      <b/>
      <sz val="12"/>
      <color theme="0"/>
      <name val="Calibri"/>
      <family val="2"/>
      <scheme val="minor"/>
    </font>
    <font>
      <b/>
      <sz val="10"/>
      <color theme="0"/>
      <name val="Calibri"/>
      <family val="2"/>
      <scheme val="minor"/>
    </font>
    <font>
      <b/>
      <i/>
      <sz val="8"/>
      <color theme="0"/>
      <name val="Calibri"/>
      <family val="2"/>
      <scheme val="minor"/>
    </font>
    <font>
      <b/>
      <sz val="10"/>
      <name val="Calibri"/>
      <family val="2"/>
      <scheme val="minor"/>
    </font>
    <font>
      <i/>
      <sz val="6"/>
      <color theme="0"/>
      <name val="Calibri"/>
      <family val="2"/>
      <scheme val="minor"/>
    </font>
    <font>
      <b/>
      <sz val="8"/>
      <color theme="1"/>
      <name val="Calibri"/>
      <family val="2"/>
      <scheme val="minor"/>
    </font>
    <font>
      <sz val="11"/>
      <color indexed="8"/>
      <name val="Calibri"/>
      <family val="2"/>
    </font>
    <font>
      <b/>
      <sz val="10"/>
      <color theme="0"/>
      <name val="Calibri"/>
      <family val="2"/>
    </font>
    <font>
      <sz val="9"/>
      <color rgb="FFFF0000"/>
      <name val="Calibri"/>
      <family val="2"/>
      <scheme val="minor"/>
    </font>
    <font>
      <b/>
      <sz val="11"/>
      <color theme="0"/>
      <name val="Calibri"/>
      <family val="2"/>
    </font>
    <font>
      <b/>
      <sz val="10"/>
      <color rgb="FFFFFFFF"/>
      <name val="Calibri"/>
      <family val="2"/>
    </font>
    <font>
      <sz val="10"/>
      <color theme="1"/>
      <name val="Calibri"/>
      <family val="2"/>
    </font>
    <font>
      <i/>
      <sz val="8"/>
      <color rgb="FFFF0000"/>
      <name val="Calibri"/>
      <family val="2"/>
    </font>
    <font>
      <b/>
      <sz val="8"/>
      <color theme="0"/>
      <name val="Calibri"/>
      <family val="2"/>
      <scheme val="minor"/>
    </font>
    <font>
      <i/>
      <sz val="10"/>
      <color theme="1"/>
      <name val="Calibri"/>
      <family val="2"/>
      <scheme val="minor"/>
    </font>
    <font>
      <sz val="10"/>
      <color theme="0"/>
      <name val="Calibri"/>
      <family val="2"/>
      <scheme val="minor"/>
    </font>
    <font>
      <b/>
      <i/>
      <sz val="11"/>
      <color theme="1"/>
      <name val="Calibri"/>
      <family val="2"/>
      <scheme val="minor"/>
    </font>
    <font>
      <b/>
      <sz val="9"/>
      <color indexed="81"/>
      <name val="Tahoma"/>
      <family val="2"/>
    </font>
    <font>
      <sz val="9"/>
      <color indexed="81"/>
      <name val="Tahoma"/>
      <family val="2"/>
    </font>
    <font>
      <b/>
      <u/>
      <sz val="11"/>
      <color indexed="8"/>
      <name val="Calibri"/>
      <family val="2"/>
    </font>
    <font>
      <b/>
      <sz val="11"/>
      <color indexed="8"/>
      <name val="Calibri"/>
      <family val="2"/>
    </font>
    <font>
      <sz val="10"/>
      <color rgb="FFFF0000"/>
      <name val="Calibri"/>
      <family val="2"/>
    </font>
    <font>
      <sz val="10"/>
      <color indexed="8"/>
      <name val="Calibri"/>
      <family val="2"/>
    </font>
    <font>
      <sz val="11"/>
      <color rgb="FFFFFFFF"/>
      <name val="Calibri"/>
      <family val="2"/>
    </font>
    <font>
      <sz val="10"/>
      <name val="Calibri"/>
      <family val="2"/>
    </font>
    <font>
      <sz val="11"/>
      <color theme="3" tint="-0.24994659260841701"/>
      <name val="Calibri"/>
      <family val="2"/>
      <scheme val="minor"/>
    </font>
    <font>
      <b/>
      <i/>
      <sz val="11"/>
      <color theme="3" tint="-0.24994659260841701"/>
      <name val="Calibri"/>
      <family val="2"/>
      <scheme val="minor"/>
    </font>
    <font>
      <sz val="8.5"/>
      <color theme="1"/>
      <name val="Calibri"/>
      <family val="2"/>
      <scheme val="minor"/>
    </font>
    <font>
      <sz val="9.5"/>
      <color theme="1"/>
      <name val="Calibri"/>
      <family val="2"/>
      <scheme val="minor"/>
    </font>
    <font>
      <sz val="9.5"/>
      <color theme="1"/>
      <name val="Calibri"/>
      <family val="2"/>
    </font>
    <font>
      <sz val="8.8000000000000007"/>
      <color theme="1"/>
      <name val="Calibri"/>
      <family val="2"/>
      <scheme val="minor"/>
    </font>
    <font>
      <b/>
      <sz val="22"/>
      <color rgb="FF0000FF"/>
      <name val="Calibri"/>
      <family val="2"/>
      <scheme val="minor"/>
    </font>
    <font>
      <b/>
      <sz val="12"/>
      <color rgb="FFFAAA96"/>
      <name val="Calibri"/>
      <family val="2"/>
      <scheme val="minor"/>
    </font>
    <font>
      <sz val="12"/>
      <color rgb="FFFF0000"/>
      <name val="Calibri"/>
      <family val="2"/>
      <scheme val="minor"/>
    </font>
    <font>
      <b/>
      <sz val="24"/>
      <color theme="0"/>
      <name val="Calibri"/>
      <family val="2"/>
      <scheme val="minor"/>
    </font>
    <font>
      <i/>
      <sz val="16"/>
      <color theme="1"/>
      <name val="Calibri"/>
      <family val="2"/>
      <scheme val="minor"/>
    </font>
    <font>
      <sz val="18"/>
      <color theme="1"/>
      <name val="Calibri"/>
      <family val="2"/>
      <scheme val="minor"/>
    </font>
    <font>
      <b/>
      <sz val="26"/>
      <name val="Calibri"/>
      <family val="2"/>
      <scheme val="minor"/>
    </font>
    <font>
      <sz val="26"/>
      <color theme="1"/>
      <name val="Calibri"/>
      <family val="2"/>
      <scheme val="minor"/>
    </font>
    <font>
      <b/>
      <sz val="26"/>
      <color theme="1"/>
      <name val="Calibri"/>
      <family val="2"/>
      <scheme val="minor"/>
    </font>
    <font>
      <b/>
      <sz val="26"/>
      <color theme="8" tint="-0.24994659260841701"/>
      <name val="Calibri"/>
      <family val="2"/>
      <scheme val="minor"/>
    </font>
    <font>
      <sz val="11"/>
      <color theme="9" tint="-0.249977111117893"/>
      <name val="Calibri"/>
      <family val="2"/>
      <scheme val="minor"/>
    </font>
    <font>
      <sz val="10.5"/>
      <color theme="1"/>
      <name val="Calibri"/>
      <family val="2"/>
      <scheme val="minor"/>
    </font>
    <font>
      <b/>
      <vertAlign val="superscript"/>
      <sz val="10"/>
      <color theme="0"/>
      <name val="Calibri"/>
      <family val="2"/>
      <scheme val="minor"/>
    </font>
    <font>
      <b/>
      <sz val="10"/>
      <color theme="1"/>
      <name val="Calibri"/>
      <family val="2"/>
    </font>
    <font>
      <sz val="11"/>
      <color theme="1"/>
      <name val="Aptos Narrow"/>
      <family val="2"/>
    </font>
    <font>
      <u/>
      <sz val="12"/>
      <color theme="1"/>
      <name val="Calibri"/>
      <family val="2"/>
      <scheme val="minor"/>
    </font>
    <font>
      <sz val="12"/>
      <name val="Calibri"/>
      <family val="2"/>
      <scheme val="minor"/>
    </font>
    <font>
      <b/>
      <sz val="18"/>
      <color theme="0"/>
      <name val="Calibri"/>
      <family val="2"/>
      <scheme val="minor"/>
    </font>
    <font>
      <b/>
      <sz val="15"/>
      <color theme="1"/>
      <name val="Calibri"/>
      <family val="2"/>
      <scheme val="minor"/>
    </font>
    <font>
      <b/>
      <vertAlign val="superscript"/>
      <sz val="11"/>
      <color rgb="FFFF0000"/>
      <name val="Calibri"/>
      <family val="2"/>
      <scheme val="minor"/>
    </font>
    <font>
      <b/>
      <vertAlign val="superscript"/>
      <sz val="11"/>
      <color theme="1"/>
      <name val="Calibri"/>
      <family val="2"/>
      <scheme val="minor"/>
    </font>
    <font>
      <b/>
      <sz val="7.5"/>
      <color theme="1"/>
      <name val="Calibri"/>
      <family val="2"/>
      <scheme val="minor"/>
    </font>
  </fonts>
  <fills count="34">
    <fill>
      <patternFill patternType="none"/>
    </fill>
    <fill>
      <patternFill patternType="gray125"/>
    </fill>
    <fill>
      <patternFill patternType="solid">
        <fgColor rgb="FF0000FF"/>
        <bgColor indexed="64"/>
      </patternFill>
    </fill>
    <fill>
      <patternFill patternType="solid">
        <fgColor theme="3" tint="0.79998168889431442"/>
        <bgColor indexed="64"/>
      </patternFill>
    </fill>
    <fill>
      <patternFill patternType="solid">
        <fgColor theme="0" tint="-0.14996795556505021"/>
        <bgColor indexed="64"/>
      </patternFill>
    </fill>
    <fill>
      <patternFill patternType="solid">
        <fgColor rgb="FFFFFF00"/>
        <bgColor indexed="64"/>
      </patternFill>
    </fill>
    <fill>
      <patternFill patternType="solid">
        <fgColor rgb="FF0000CC"/>
        <bgColor indexed="64"/>
      </patternFill>
    </fill>
    <fill>
      <patternFill patternType="solid">
        <fgColor theme="0" tint="-0.14999847407452621"/>
        <bgColor indexed="64"/>
      </patternFill>
    </fill>
    <fill>
      <patternFill patternType="solid">
        <fgColor rgb="FFE6FFCD"/>
        <bgColor indexed="64"/>
      </patternFill>
    </fill>
    <fill>
      <patternFill patternType="solid">
        <fgColor theme="1"/>
        <bgColor indexed="64"/>
      </patternFill>
    </fill>
    <fill>
      <patternFill patternType="solid">
        <fgColor rgb="FFFF0000"/>
        <bgColor indexed="64"/>
      </patternFill>
    </fill>
    <fill>
      <patternFill patternType="solid">
        <fgColor rgb="FF008000"/>
        <bgColor indexed="64"/>
      </patternFill>
    </fill>
    <fill>
      <patternFill patternType="solid">
        <fgColor theme="0"/>
        <bgColor indexed="64"/>
      </patternFill>
    </fill>
    <fill>
      <patternFill patternType="solid">
        <fgColor rgb="FFE6FFCD"/>
        <bgColor rgb="FF000000"/>
      </patternFill>
    </fill>
    <fill>
      <patternFill patternType="solid">
        <fgColor rgb="FF0000CC"/>
        <bgColor theme="0"/>
      </patternFill>
    </fill>
    <fill>
      <patternFill patternType="solid">
        <fgColor rgb="FF800080"/>
        <bgColor indexed="64"/>
      </patternFill>
    </fill>
    <fill>
      <patternFill patternType="solid">
        <fgColor rgb="FFE6FFCD"/>
        <bgColor rgb="FF85E766"/>
      </patternFill>
    </fill>
    <fill>
      <patternFill patternType="solid">
        <fgColor rgb="FF663300"/>
        <bgColor indexed="64"/>
      </patternFill>
    </fill>
    <fill>
      <patternFill patternType="solid">
        <fgColor theme="1"/>
        <bgColor theme="0"/>
      </patternFill>
    </fill>
    <fill>
      <patternFill patternType="solid">
        <fgColor theme="7" tint="0.39997558519241921"/>
        <bgColor indexed="64"/>
      </patternFill>
    </fill>
    <fill>
      <patternFill patternType="solid">
        <fgColor theme="0" tint="-0.499984740745262"/>
        <bgColor indexed="64"/>
      </patternFill>
    </fill>
    <fill>
      <patternFill patternType="solid">
        <fgColor rgb="FFB1A0C7"/>
        <bgColor indexed="64"/>
      </patternFill>
    </fill>
    <fill>
      <patternFill patternType="solid">
        <fgColor theme="7" tint="0.39994506668294322"/>
        <bgColor indexed="64"/>
      </patternFill>
    </fill>
    <fill>
      <patternFill patternType="solid">
        <fgColor rgb="FF92D050"/>
        <bgColor indexed="64"/>
      </patternFill>
    </fill>
    <fill>
      <patternFill patternType="solid">
        <fgColor theme="9" tint="0.79998168889431442"/>
        <bgColor indexed="64"/>
      </patternFill>
    </fill>
    <fill>
      <patternFill patternType="solid">
        <fgColor theme="2"/>
        <bgColor indexed="64"/>
      </patternFill>
    </fill>
    <fill>
      <patternFill patternType="solid">
        <fgColor rgb="FF0000FF"/>
        <bgColor theme="0"/>
      </patternFill>
    </fill>
    <fill>
      <patternFill patternType="solid">
        <fgColor rgb="FF0070C0"/>
        <bgColor indexed="64"/>
      </patternFill>
    </fill>
    <fill>
      <patternFill patternType="solid">
        <fgColor theme="4" tint="-0.24994659260841701"/>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rgb="FFFFC000"/>
        <bgColor indexed="64"/>
      </patternFill>
    </fill>
    <fill>
      <patternFill patternType="solid">
        <fgColor rgb="FF2FCF83"/>
        <bgColor indexed="64"/>
      </patternFill>
    </fill>
    <fill>
      <patternFill patternType="solid">
        <fgColor theme="0" tint="-0.249977111117893"/>
        <bgColor indexed="64"/>
      </patternFill>
    </fill>
  </fills>
  <borders count="154">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hair">
        <color auto="1"/>
      </right>
      <top style="thin">
        <color auto="1"/>
      </top>
      <bottom/>
      <diagonal/>
    </border>
    <border>
      <left style="hair">
        <color auto="1"/>
      </left>
      <right/>
      <top style="thin">
        <color auto="1"/>
      </top>
      <bottom style="hair">
        <color auto="1"/>
      </bottom>
      <diagonal/>
    </border>
    <border>
      <left/>
      <right style="hair">
        <color auto="1"/>
      </right>
      <top/>
      <bottom/>
      <diagonal/>
    </border>
    <border>
      <left style="hair">
        <color auto="1"/>
      </left>
      <right/>
      <top style="hair">
        <color auto="1"/>
      </top>
      <bottom style="hair">
        <color auto="1"/>
      </bottom>
      <diagonal/>
    </border>
    <border>
      <left/>
      <right style="hair">
        <color auto="1"/>
      </right>
      <top/>
      <bottom style="thin">
        <color auto="1"/>
      </bottom>
      <diagonal/>
    </border>
    <border>
      <left style="hair">
        <color auto="1"/>
      </left>
      <right/>
      <top style="hair">
        <color auto="1"/>
      </top>
      <bottom style="thin">
        <color auto="1"/>
      </bottom>
      <diagonal/>
    </border>
    <border>
      <left style="hair">
        <color auto="1"/>
      </left>
      <right/>
      <top style="thin">
        <color auto="1"/>
      </top>
      <bottom style="thin">
        <color auto="1"/>
      </bottom>
      <diagonal/>
    </border>
    <border>
      <left style="thin">
        <color auto="1"/>
      </left>
      <right style="thin">
        <color theme="0"/>
      </right>
      <top style="thin">
        <color auto="1"/>
      </top>
      <bottom/>
      <diagonal/>
    </border>
    <border>
      <left style="thin">
        <color theme="0"/>
      </left>
      <right style="thin">
        <color theme="0"/>
      </right>
      <top style="thin">
        <color auto="1"/>
      </top>
      <bottom/>
      <diagonal/>
    </border>
    <border>
      <left style="hair">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style="thin">
        <color auto="1"/>
      </right>
      <top style="hair">
        <color auto="1"/>
      </top>
      <bottom style="hair">
        <color auto="1"/>
      </bottom>
      <diagonal/>
    </border>
    <border>
      <left style="thin">
        <color auto="1"/>
      </left>
      <right style="thin">
        <color auto="1"/>
      </right>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style="hair">
        <color auto="1"/>
      </top>
      <bottom/>
      <diagonal/>
    </border>
    <border>
      <left style="thin">
        <color auto="1"/>
      </left>
      <right/>
      <top/>
      <bottom style="hair">
        <color auto="1"/>
      </bottom>
      <diagonal/>
    </border>
    <border>
      <left/>
      <right/>
      <top/>
      <bottom style="hair">
        <color auto="1"/>
      </bottom>
      <diagonal/>
    </border>
    <border>
      <left/>
      <right style="thin">
        <color auto="1"/>
      </right>
      <top/>
      <bottom style="hair">
        <color auto="1"/>
      </bottom>
      <diagonal/>
    </border>
    <border>
      <left style="thin">
        <color auto="1"/>
      </left>
      <right/>
      <top style="hair">
        <color auto="1"/>
      </top>
      <bottom/>
      <diagonal/>
    </border>
    <border>
      <left style="thin">
        <color auto="1"/>
      </left>
      <right style="thin">
        <color auto="1"/>
      </right>
      <top style="thin">
        <color auto="1"/>
      </top>
      <bottom style="hair">
        <color auto="1"/>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right style="thick">
        <color auto="1"/>
      </right>
      <top style="thin">
        <color auto="1"/>
      </top>
      <bottom/>
      <diagonal/>
    </border>
    <border>
      <left/>
      <right/>
      <top style="thin">
        <color auto="1"/>
      </top>
      <bottom style="medium">
        <color auto="1"/>
      </bottom>
      <diagonal/>
    </border>
    <border>
      <left style="medium">
        <color auto="1"/>
      </left>
      <right style="hair">
        <color auto="1"/>
      </right>
      <top style="thin">
        <color auto="1"/>
      </top>
      <bottom/>
      <diagonal/>
    </border>
    <border>
      <left/>
      <right style="thick">
        <color auto="1"/>
      </right>
      <top/>
      <bottom/>
      <diagonal/>
    </border>
    <border>
      <left style="medium">
        <color auto="1"/>
      </left>
      <right style="hair">
        <color auto="1"/>
      </right>
      <top/>
      <bottom/>
      <diagonal/>
    </border>
    <border>
      <left style="hair">
        <color auto="1"/>
      </left>
      <right style="hair">
        <color auto="1"/>
      </right>
      <top/>
      <bottom/>
      <diagonal/>
    </border>
    <border>
      <left style="hair">
        <color auto="1"/>
      </left>
      <right style="thin">
        <color auto="1"/>
      </right>
      <top/>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right/>
      <top style="thick">
        <color auto="1"/>
      </top>
      <bottom style="medium">
        <color auto="1"/>
      </bottom>
      <diagonal/>
    </border>
    <border>
      <left style="thick">
        <color auto="1"/>
      </left>
      <right/>
      <top style="medium">
        <color auto="1"/>
      </top>
      <bottom/>
      <diagonal/>
    </border>
    <border>
      <left/>
      <right/>
      <top style="medium">
        <color auto="1"/>
      </top>
      <bottom style="hair">
        <color auto="1"/>
      </bottom>
      <diagonal/>
    </border>
    <border>
      <left/>
      <right style="thin">
        <color auto="1"/>
      </right>
      <top style="medium">
        <color auto="1"/>
      </top>
      <bottom style="hair">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ck">
        <color auto="1"/>
      </right>
      <top style="medium">
        <color auto="1"/>
      </top>
      <bottom style="thin">
        <color auto="1"/>
      </bottom>
      <diagonal/>
    </border>
    <border>
      <left style="thick">
        <color auto="1"/>
      </left>
      <right/>
      <top/>
      <bottom/>
      <diagonal/>
    </border>
    <border>
      <left/>
      <right style="thick">
        <color auto="1"/>
      </right>
      <top style="thin">
        <color auto="1"/>
      </top>
      <bottom style="thin">
        <color auto="1"/>
      </bottom>
      <diagonal/>
    </border>
    <border>
      <left style="thick">
        <color auto="1"/>
      </left>
      <right/>
      <top/>
      <bottom style="thin">
        <color auto="1"/>
      </bottom>
      <diagonal/>
    </border>
    <border>
      <left style="thick">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style="thick">
        <color auto="1"/>
      </right>
      <top style="thin">
        <color auto="1"/>
      </top>
      <bottom style="medium">
        <color auto="1"/>
      </bottom>
      <diagonal/>
    </border>
    <border>
      <left style="thick">
        <color auto="1"/>
      </left>
      <right/>
      <top style="thin">
        <color auto="1"/>
      </top>
      <bottom style="thin">
        <color auto="1"/>
      </bottom>
      <diagonal/>
    </border>
    <border>
      <left style="thick">
        <color auto="1"/>
      </left>
      <right style="thin">
        <color auto="1"/>
      </right>
      <top style="thin">
        <color auto="1"/>
      </top>
      <bottom/>
      <diagonal/>
    </border>
    <border>
      <left style="thin">
        <color auto="1"/>
      </left>
      <right style="thick">
        <color auto="1"/>
      </right>
      <top style="thin">
        <color auto="1"/>
      </top>
      <bottom style="thin">
        <color auto="1"/>
      </bottom>
      <diagonal/>
    </border>
    <border>
      <left style="thick">
        <color auto="1"/>
      </left>
      <right style="thin">
        <color auto="1"/>
      </right>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style="double">
        <color auto="1"/>
      </left>
      <right/>
      <top style="medium">
        <color auto="1"/>
      </top>
      <bottom style="thin">
        <color auto="1"/>
      </bottom>
      <diagonal/>
    </border>
    <border>
      <left style="double">
        <color auto="1"/>
      </left>
      <right style="thin">
        <color auto="1"/>
      </right>
      <top style="thin">
        <color auto="1"/>
      </top>
      <bottom style="thin">
        <color auto="1"/>
      </bottom>
      <diagonal/>
    </border>
    <border>
      <left style="double">
        <color auto="1"/>
      </left>
      <right/>
      <top style="thin">
        <color auto="1"/>
      </top>
      <bottom style="thin">
        <color auto="1"/>
      </bottom>
      <diagonal/>
    </border>
    <border>
      <left style="thick">
        <color auto="1"/>
      </left>
      <right/>
      <top style="thin">
        <color auto="1"/>
      </top>
      <bottom/>
      <diagonal/>
    </border>
    <border>
      <left style="thick">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double">
        <color auto="1"/>
      </left>
      <right style="thin">
        <color auto="1"/>
      </right>
      <top style="thin">
        <color auto="1"/>
      </top>
      <bottom style="medium">
        <color auto="1"/>
      </bottom>
      <diagonal/>
    </border>
    <border>
      <left style="thick">
        <color auto="1"/>
      </left>
      <right/>
      <top style="medium">
        <color auto="1"/>
      </top>
      <bottom style="thin">
        <color auto="1"/>
      </bottom>
      <diagonal/>
    </border>
    <border>
      <left/>
      <right style="thin">
        <color auto="1"/>
      </right>
      <top style="medium">
        <color auto="1"/>
      </top>
      <bottom style="thin">
        <color auto="1"/>
      </bottom>
      <diagonal/>
    </border>
    <border>
      <left/>
      <right style="thick">
        <color auto="1"/>
      </right>
      <top style="medium">
        <color auto="1"/>
      </top>
      <bottom/>
      <diagonal/>
    </border>
    <border>
      <left/>
      <right style="thick">
        <color auto="1"/>
      </right>
      <top/>
      <bottom style="thin">
        <color auto="1"/>
      </bottom>
      <diagonal/>
    </border>
    <border>
      <left/>
      <right/>
      <top/>
      <bottom style="thick">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style="thin">
        <color theme="1"/>
      </left>
      <right style="thin">
        <color theme="0"/>
      </right>
      <top style="thin">
        <color theme="1"/>
      </top>
      <bottom style="thin">
        <color theme="0"/>
      </bottom>
      <diagonal/>
    </border>
    <border>
      <left style="thin">
        <color theme="0"/>
      </left>
      <right style="thin">
        <color theme="0"/>
      </right>
      <top style="thin">
        <color theme="1"/>
      </top>
      <bottom style="thin">
        <color theme="0"/>
      </bottom>
      <diagonal/>
    </border>
    <border>
      <left style="thin">
        <color theme="0"/>
      </left>
      <right style="thin">
        <color theme="1"/>
      </right>
      <top style="thin">
        <color theme="1"/>
      </top>
      <bottom style="thin">
        <color theme="0"/>
      </bottom>
      <diagonal/>
    </border>
    <border>
      <left style="thin">
        <color theme="1"/>
      </left>
      <right style="thin">
        <color theme="0"/>
      </right>
      <top style="thin">
        <color theme="0"/>
      </top>
      <bottom style="thin">
        <color theme="1"/>
      </bottom>
      <diagonal/>
    </border>
    <border>
      <left style="thin">
        <color theme="0"/>
      </left>
      <right style="thin">
        <color theme="0"/>
      </right>
      <top style="thin">
        <color theme="0"/>
      </top>
      <bottom style="thin">
        <color theme="1"/>
      </bottom>
      <diagonal/>
    </border>
    <border>
      <left style="thin">
        <color theme="0"/>
      </left>
      <right style="thin">
        <color theme="1"/>
      </right>
      <top style="thin">
        <color theme="0"/>
      </top>
      <bottom style="thin">
        <color theme="1"/>
      </bottom>
      <diagonal/>
    </border>
    <border>
      <left style="thin">
        <color auto="1"/>
      </left>
      <right style="hair">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thin">
        <color auto="1"/>
      </left>
      <right style="thin">
        <color auto="1"/>
      </right>
      <top style="thin">
        <color auto="1"/>
      </top>
      <bottom style="thick">
        <color auto="1"/>
      </bottom>
      <diagonal/>
    </border>
    <border>
      <left style="thin">
        <color auto="1"/>
      </left>
      <right/>
      <top/>
      <bottom style="thick">
        <color auto="1"/>
      </bottom>
      <diagonal/>
    </border>
    <border>
      <left/>
      <right style="thin">
        <color auto="1"/>
      </right>
      <top/>
      <bottom style="thick">
        <color auto="1"/>
      </bottom>
      <diagonal/>
    </border>
    <border>
      <left style="thin">
        <color auto="1"/>
      </left>
      <right/>
      <top style="thin">
        <color auto="1"/>
      </top>
      <bottom style="thick">
        <color auto="1"/>
      </bottom>
      <diagonal/>
    </border>
    <border>
      <left/>
      <right/>
      <top style="thin">
        <color auto="1"/>
      </top>
      <bottom style="thick">
        <color auto="1"/>
      </bottom>
      <diagonal/>
    </border>
    <border>
      <left/>
      <right style="thin">
        <color auto="1"/>
      </right>
      <top style="thin">
        <color auto="1"/>
      </top>
      <bottom style="thick">
        <color auto="1"/>
      </bottom>
      <diagonal/>
    </border>
    <border>
      <left style="thin">
        <color auto="1"/>
      </left>
      <right/>
      <top style="thick">
        <color auto="1"/>
      </top>
      <bottom/>
      <diagonal/>
    </border>
    <border>
      <left/>
      <right style="thin">
        <color auto="1"/>
      </right>
      <top style="thick">
        <color auto="1"/>
      </top>
      <bottom/>
      <diagonal/>
    </border>
    <border>
      <left style="thin">
        <color auto="1"/>
      </left>
      <right/>
      <top style="thick">
        <color auto="1"/>
      </top>
      <bottom style="thin">
        <color auto="1"/>
      </bottom>
      <diagonal/>
    </border>
    <border>
      <left/>
      <right/>
      <top style="thick">
        <color auto="1"/>
      </top>
      <bottom style="thin">
        <color auto="1"/>
      </bottom>
      <diagonal/>
    </border>
    <border>
      <left/>
      <right/>
      <top style="thick">
        <color auto="1"/>
      </top>
      <bottom/>
      <diagonal/>
    </border>
    <border>
      <left style="hair">
        <color auto="1"/>
      </left>
      <right/>
      <top/>
      <bottom style="hair">
        <color auto="1"/>
      </bottom>
      <diagonal/>
    </border>
    <border>
      <left style="thin">
        <color auto="1"/>
      </left>
      <right style="thin">
        <color auto="1"/>
      </right>
      <top style="thick">
        <color auto="1"/>
      </top>
      <bottom style="thin">
        <color auto="1"/>
      </bottom>
      <diagonal/>
    </border>
    <border>
      <left/>
      <right style="thin">
        <color auto="1"/>
      </right>
      <top style="thick">
        <color auto="1"/>
      </top>
      <bottom style="thin">
        <color auto="1"/>
      </bottom>
      <diagonal/>
    </border>
    <border>
      <left/>
      <right/>
      <top style="thick">
        <color auto="1"/>
      </top>
      <bottom style="thick">
        <color auto="1"/>
      </bottom>
      <diagonal/>
    </border>
    <border>
      <left style="thin">
        <color auto="1"/>
      </left>
      <right style="hair">
        <color auto="1"/>
      </right>
      <top/>
      <bottom/>
      <diagonal/>
    </border>
    <border>
      <left style="thick">
        <color auto="1"/>
      </left>
      <right/>
      <top style="thick">
        <color auto="1"/>
      </top>
      <bottom style="medium">
        <color auto="1"/>
      </bottom>
      <diagonal/>
    </border>
    <border>
      <left/>
      <right style="thick">
        <color auto="1"/>
      </right>
      <top style="thick">
        <color auto="1"/>
      </top>
      <bottom style="medium">
        <color auto="1"/>
      </bottom>
      <diagonal/>
    </border>
    <border>
      <left style="thick">
        <color auto="1"/>
      </left>
      <right/>
      <top style="thin">
        <color auto="1"/>
      </top>
      <bottom style="thick">
        <color auto="1"/>
      </bottom>
      <diagonal/>
    </border>
    <border>
      <left/>
      <right style="thick">
        <color auto="1"/>
      </right>
      <top style="thin">
        <color auto="1"/>
      </top>
      <bottom style="thick">
        <color auto="1"/>
      </bottom>
      <diagonal/>
    </border>
    <border>
      <left style="thin">
        <color theme="0"/>
      </left>
      <right style="thin">
        <color auto="1"/>
      </right>
      <top style="thin">
        <color auto="1"/>
      </top>
      <bottom/>
      <diagonal/>
    </border>
    <border>
      <left/>
      <right/>
      <top/>
      <bottom style="medium">
        <color indexed="64"/>
      </bottom>
      <diagonal/>
    </border>
    <border>
      <left style="thin">
        <color auto="1"/>
      </left>
      <right/>
      <top/>
      <bottom style="medium">
        <color indexed="64"/>
      </bottom>
      <diagonal/>
    </border>
    <border>
      <left/>
      <right style="thin">
        <color auto="1"/>
      </right>
      <top/>
      <bottom style="medium">
        <color indexed="64"/>
      </bottom>
      <diagonal/>
    </border>
    <border>
      <left style="medium">
        <color auto="1"/>
      </left>
      <right/>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medium">
        <color auto="1"/>
      </left>
      <right/>
      <top style="thin">
        <color auto="1"/>
      </top>
      <bottom/>
      <diagonal/>
    </border>
    <border>
      <left style="thin">
        <color auto="1"/>
      </left>
      <right style="thin">
        <color auto="1"/>
      </right>
      <top style="dotted">
        <color auto="1"/>
      </top>
      <bottom/>
      <diagonal/>
    </border>
    <border>
      <left style="thin">
        <color auto="1"/>
      </left>
      <right style="thin">
        <color auto="1"/>
      </right>
      <top/>
      <bottom style="dotted">
        <color auto="1"/>
      </bottom>
      <diagonal/>
    </border>
    <border>
      <left/>
      <right/>
      <top style="thin">
        <color auto="1"/>
      </top>
      <bottom style="double">
        <color auto="1"/>
      </bottom>
      <diagonal/>
    </border>
    <border>
      <left style="thin">
        <color auto="1"/>
      </left>
      <right style="thin">
        <color auto="1"/>
      </right>
      <top style="dotted">
        <color auto="1"/>
      </top>
      <bottom style="thin">
        <color auto="1"/>
      </bottom>
      <diagonal/>
    </border>
  </borders>
  <cellStyleXfs count="4">
    <xf numFmtId="0" fontId="0" fillId="0" borderId="0"/>
    <xf numFmtId="0" fontId="23" fillId="0" borderId="0" applyNumberFormat="0" applyFill="0" applyBorder="0" applyAlignment="0" applyProtection="0"/>
    <xf numFmtId="0" fontId="55" fillId="0" borderId="0"/>
    <xf numFmtId="0" fontId="3" fillId="0" borderId="0"/>
  </cellStyleXfs>
  <cellXfs count="1847">
    <xf numFmtId="0" fontId="0" fillId="0" borderId="0" xfId="0"/>
    <xf numFmtId="0" fontId="10" fillId="7" borderId="31" xfId="0" applyFont="1" applyFill="1" applyBorder="1"/>
    <xf numFmtId="0" fontId="0" fillId="0" borderId="32" xfId="0" applyBorder="1" applyAlignment="1">
      <alignment horizontal="left"/>
    </xf>
    <xf numFmtId="0" fontId="0" fillId="0" borderId="1" xfId="0" applyBorder="1" applyAlignment="1">
      <alignment horizontal="left"/>
    </xf>
    <xf numFmtId="0" fontId="0" fillId="0" borderId="33" xfId="0" applyBorder="1" applyAlignment="1">
      <alignment horizontal="left"/>
    </xf>
    <xf numFmtId="0" fontId="0" fillId="0" borderId="34" xfId="0" applyBorder="1" applyAlignment="1">
      <alignment horizontal="left"/>
    </xf>
    <xf numFmtId="0" fontId="0" fillId="0" borderId="4" xfId="0" applyBorder="1" applyAlignment="1">
      <alignment horizontal="left"/>
    </xf>
    <xf numFmtId="0" fontId="16" fillId="0" borderId="0" xfId="0" applyFont="1"/>
    <xf numFmtId="0" fontId="0" fillId="0" borderId="0" xfId="0" applyAlignment="1">
      <alignment horizontal="left"/>
    </xf>
    <xf numFmtId="0" fontId="10" fillId="7" borderId="16" xfId="0" applyFont="1" applyFill="1" applyBorder="1"/>
    <xf numFmtId="37" fontId="0" fillId="0" borderId="34" xfId="0" applyNumberFormat="1" applyBorder="1" applyAlignment="1">
      <alignment horizontal="left" vertical="center"/>
    </xf>
    <xf numFmtId="38" fontId="10" fillId="8" borderId="31" xfId="0" applyNumberFormat="1" applyFont="1" applyFill="1" applyBorder="1" applyAlignment="1" applyProtection="1">
      <alignment horizontal="center" vertical="center" wrapText="1"/>
      <protection locked="0"/>
    </xf>
    <xf numFmtId="0" fontId="10" fillId="8" borderId="47" xfId="0" applyFont="1" applyFill="1" applyBorder="1" applyAlignment="1" applyProtection="1">
      <alignment horizontal="center" vertical="center" wrapText="1"/>
      <protection locked="0"/>
    </xf>
    <xf numFmtId="0" fontId="10" fillId="8" borderId="16" xfId="0" applyFont="1" applyFill="1" applyBorder="1" applyAlignment="1" applyProtection="1">
      <alignment horizontal="center" vertical="center"/>
      <protection locked="0"/>
    </xf>
    <xf numFmtId="0" fontId="10" fillId="8" borderId="49" xfId="0" applyFont="1" applyFill="1" applyBorder="1" applyAlignment="1" applyProtection="1">
      <alignment horizontal="center" vertical="center" wrapText="1"/>
      <protection locked="0"/>
    </xf>
    <xf numFmtId="0" fontId="10" fillId="8" borderId="47" xfId="0" applyFont="1" applyFill="1" applyBorder="1" applyAlignment="1" applyProtection="1">
      <alignment horizontal="center" vertical="center"/>
      <protection locked="0"/>
    </xf>
    <xf numFmtId="0" fontId="10" fillId="8" borderId="49" xfId="0" applyFont="1" applyFill="1" applyBorder="1" applyAlignment="1" applyProtection="1">
      <alignment horizontal="center" vertical="center"/>
      <protection locked="0"/>
    </xf>
    <xf numFmtId="38" fontId="10" fillId="8" borderId="16" xfId="0" applyNumberFormat="1" applyFont="1" applyFill="1" applyBorder="1" applyAlignment="1" applyProtection="1">
      <alignment horizontal="center" vertical="center"/>
      <protection locked="0"/>
    </xf>
    <xf numFmtId="2" fontId="48" fillId="8" borderId="31" xfId="0" applyNumberFormat="1" applyFont="1" applyFill="1" applyBorder="1" applyAlignment="1" applyProtection="1">
      <alignment horizontal="center" vertical="center"/>
      <protection locked="0"/>
    </xf>
    <xf numFmtId="2" fontId="13" fillId="8" borderId="16" xfId="0" applyNumberFormat="1" applyFont="1" applyFill="1" applyBorder="1" applyAlignment="1" applyProtection="1">
      <alignment horizontal="center" vertical="center"/>
      <protection locked="0"/>
    </xf>
    <xf numFmtId="2" fontId="13" fillId="8" borderId="31" xfId="0" applyNumberFormat="1" applyFont="1" applyFill="1" applyBorder="1" applyAlignment="1" applyProtection="1">
      <alignment horizontal="center" vertical="center"/>
      <protection locked="0"/>
    </xf>
    <xf numFmtId="0" fontId="48" fillId="8" borderId="31" xfId="0" applyFont="1" applyFill="1" applyBorder="1" applyAlignment="1" applyProtection="1">
      <alignment horizontal="left" vertical="top" wrapText="1"/>
      <protection locked="0"/>
    </xf>
    <xf numFmtId="1" fontId="48" fillId="8" borderId="31" xfId="0" applyNumberFormat="1" applyFont="1" applyFill="1" applyBorder="1" applyAlignment="1" applyProtection="1">
      <alignment horizontal="center" vertical="center"/>
      <protection locked="0"/>
    </xf>
    <xf numFmtId="3" fontId="48" fillId="8" borderId="32" xfId="0" applyNumberFormat="1" applyFont="1" applyFill="1" applyBorder="1" applyAlignment="1" applyProtection="1">
      <alignment horizontal="center" vertical="center"/>
      <protection locked="0"/>
    </xf>
    <xf numFmtId="2" fontId="13" fillId="8" borderId="1" xfId="0" applyNumberFormat="1" applyFont="1" applyFill="1" applyBorder="1" applyAlignment="1" applyProtection="1">
      <alignment horizontal="center" vertical="center"/>
      <protection locked="0"/>
    </xf>
    <xf numFmtId="2" fontId="13" fillId="8" borderId="32" xfId="0" applyNumberFormat="1" applyFont="1" applyFill="1" applyBorder="1" applyAlignment="1" applyProtection="1">
      <alignment horizontal="center" vertical="center"/>
      <protection locked="0"/>
    </xf>
    <xf numFmtId="0" fontId="48" fillId="8" borderId="32" xfId="0" applyFont="1" applyFill="1" applyBorder="1" applyAlignment="1" applyProtection="1">
      <alignment horizontal="left" vertical="top" wrapText="1"/>
      <protection locked="0"/>
    </xf>
    <xf numFmtId="0" fontId="10" fillId="23" borderId="31" xfId="0" applyFont="1" applyFill="1" applyBorder="1"/>
    <xf numFmtId="0" fontId="10" fillId="0" borderId="31" xfId="0" applyFont="1" applyBorder="1" applyAlignment="1">
      <alignment vertical="center" wrapText="1"/>
    </xf>
    <xf numFmtId="0" fontId="10" fillId="0" borderId="31" xfId="0" applyFont="1" applyBorder="1"/>
    <xf numFmtId="0" fontId="69" fillId="3" borderId="31" xfId="2" applyFont="1" applyFill="1" applyBorder="1" applyAlignment="1">
      <alignment horizontal="center" wrapText="1"/>
    </xf>
    <xf numFmtId="0" fontId="69" fillId="10" borderId="31" xfId="2" applyFont="1" applyFill="1" applyBorder="1" applyAlignment="1">
      <alignment horizontal="center" wrapText="1"/>
    </xf>
    <xf numFmtId="0" fontId="10" fillId="10" borderId="31" xfId="0" applyFont="1" applyFill="1" applyBorder="1" applyAlignment="1">
      <alignment horizontal="center"/>
    </xf>
    <xf numFmtId="0" fontId="0" fillId="0" borderId="31" xfId="0" applyBorder="1" applyAlignment="1">
      <alignment vertical="center" wrapText="1"/>
    </xf>
    <xf numFmtId="0" fontId="55" fillId="3" borderId="31" xfId="2" applyFill="1" applyBorder="1" applyAlignment="1">
      <alignment horizontal="left"/>
    </xf>
    <xf numFmtId="2" fontId="55" fillId="3" borderId="31" xfId="2" applyNumberFormat="1" applyFill="1" applyBorder="1" applyAlignment="1">
      <alignment horizontal="center"/>
    </xf>
    <xf numFmtId="0" fontId="55" fillId="10" borderId="31" xfId="2" applyFill="1" applyBorder="1" applyAlignment="1">
      <alignment horizontal="center"/>
    </xf>
    <xf numFmtId="0" fontId="0" fillId="10" borderId="31" xfId="0" applyFill="1" applyBorder="1"/>
    <xf numFmtId="49" fontId="9" fillId="0" borderId="32" xfId="0" applyNumberFormat="1" applyFont="1" applyBorder="1" applyAlignment="1">
      <alignment vertical="top" wrapText="1"/>
    </xf>
    <xf numFmtId="2" fontId="70" fillId="3" borderId="31" xfId="2" applyNumberFormat="1" applyFont="1" applyFill="1" applyBorder="1" applyAlignment="1">
      <alignment horizontal="center" vertical="center"/>
    </xf>
    <xf numFmtId="1" fontId="0" fillId="10" borderId="31" xfId="0" applyNumberFormat="1" applyFill="1" applyBorder="1" applyAlignment="1">
      <alignment horizontal="center"/>
    </xf>
    <xf numFmtId="49" fontId="9" fillId="5" borderId="33" xfId="0" applyNumberFormat="1" applyFont="1" applyFill="1" applyBorder="1" applyAlignment="1">
      <alignment vertical="top" wrapText="1"/>
    </xf>
    <xf numFmtId="0" fontId="9" fillId="5" borderId="31" xfId="0" applyFont="1" applyFill="1" applyBorder="1" applyAlignment="1">
      <alignment horizontal="left" vertical="top" wrapText="1"/>
    </xf>
    <xf numFmtId="0" fontId="55" fillId="9" borderId="31" xfId="2" applyFill="1" applyBorder="1" applyAlignment="1">
      <alignment horizontal="center"/>
    </xf>
    <xf numFmtId="0" fontId="55" fillId="3" borderId="31" xfId="2" applyFill="1" applyBorder="1" applyAlignment="1">
      <alignment horizontal="left" wrapText="1"/>
    </xf>
    <xf numFmtId="2" fontId="71" fillId="3" borderId="31" xfId="2" applyNumberFormat="1" applyFont="1" applyFill="1" applyBorder="1" applyAlignment="1">
      <alignment horizontal="center" vertical="center"/>
    </xf>
    <xf numFmtId="0" fontId="72" fillId="9" borderId="31" xfId="2" applyFont="1" applyFill="1" applyBorder="1" applyAlignment="1">
      <alignment horizontal="center"/>
    </xf>
    <xf numFmtId="2" fontId="73" fillId="3" borderId="31" xfId="2" applyNumberFormat="1" applyFont="1" applyFill="1" applyBorder="1" applyAlignment="1">
      <alignment horizontal="center" vertical="center"/>
    </xf>
    <xf numFmtId="0" fontId="69" fillId="24" borderId="31" xfId="2" applyFont="1" applyFill="1" applyBorder="1" applyAlignment="1">
      <alignment horizontal="center" wrapText="1"/>
    </xf>
    <xf numFmtId="0" fontId="55" fillId="24" borderId="31" xfId="2" applyFill="1" applyBorder="1" applyAlignment="1">
      <alignment horizontal="left"/>
    </xf>
    <xf numFmtId="165" fontId="55" fillId="24" borderId="31" xfId="2" applyNumberFormat="1" applyFill="1" applyBorder="1" applyAlignment="1">
      <alignment horizontal="center"/>
    </xf>
    <xf numFmtId="0" fontId="55" fillId="24" borderId="31" xfId="2" applyFill="1" applyBorder="1" applyAlignment="1">
      <alignment horizontal="center"/>
    </xf>
    <xf numFmtId="165" fontId="0" fillId="0" borderId="31" xfId="0" applyNumberFormat="1" applyBorder="1" applyAlignment="1">
      <alignment horizontal="center" vertical="center"/>
    </xf>
    <xf numFmtId="0" fontId="0" fillId="8" borderId="86" xfId="0" applyFill="1" applyBorder="1" applyAlignment="1" applyProtection="1">
      <alignment horizontal="left" vertical="center" indent="1"/>
      <protection locked="0"/>
    </xf>
    <xf numFmtId="0" fontId="0" fillId="8" borderId="88" xfId="0" applyFill="1" applyBorder="1" applyAlignment="1" applyProtection="1">
      <alignment horizontal="center" vertical="top"/>
      <protection locked="0"/>
    </xf>
    <xf numFmtId="1" fontId="0" fillId="8" borderId="91" xfId="0" applyNumberFormat="1" applyFill="1" applyBorder="1" applyAlignment="1" applyProtection="1">
      <alignment horizontal="center"/>
      <protection locked="0"/>
    </xf>
    <xf numFmtId="0" fontId="0" fillId="8" borderId="31" xfId="0" applyFill="1" applyBorder="1" applyAlignment="1" applyProtection="1">
      <alignment vertical="top" wrapText="1"/>
      <protection locked="0"/>
    </xf>
    <xf numFmtId="0" fontId="0" fillId="8" borderId="94" xfId="0" applyFill="1" applyBorder="1" applyAlignment="1" applyProtection="1">
      <alignment horizontal="center" vertical="top"/>
      <protection locked="0"/>
    </xf>
    <xf numFmtId="0" fontId="0" fillId="8" borderId="95" xfId="0" applyFill="1" applyBorder="1" applyAlignment="1" applyProtection="1">
      <alignment vertical="top" wrapText="1"/>
      <protection locked="0"/>
    </xf>
    <xf numFmtId="2" fontId="0" fillId="8" borderId="95" xfId="0" applyNumberFormat="1" applyFill="1" applyBorder="1" applyAlignment="1" applyProtection="1">
      <alignment horizontal="center"/>
      <protection locked="0"/>
    </xf>
    <xf numFmtId="1" fontId="0" fillId="8" borderId="96" xfId="0" applyNumberFormat="1" applyFill="1" applyBorder="1" applyAlignment="1" applyProtection="1">
      <alignment horizontal="center"/>
      <protection locked="0"/>
    </xf>
    <xf numFmtId="0" fontId="0" fillId="8" borderId="31" xfId="0" applyFill="1" applyBorder="1" applyAlignment="1" applyProtection="1">
      <alignment vertical="top" shrinkToFit="1"/>
      <protection locked="0"/>
    </xf>
    <xf numFmtId="2" fontId="0" fillId="8" borderId="31" xfId="0" applyNumberFormat="1" applyFill="1" applyBorder="1" applyAlignment="1" applyProtection="1">
      <alignment horizontal="center" vertical="top"/>
      <protection locked="0"/>
    </xf>
    <xf numFmtId="164" fontId="0" fillId="8" borderId="31" xfId="0" applyNumberFormat="1" applyFill="1" applyBorder="1" applyAlignment="1" applyProtection="1">
      <alignment horizontal="center" vertical="center"/>
      <protection locked="0"/>
    </xf>
    <xf numFmtId="0" fontId="0" fillId="8" borderId="31" xfId="0" applyFill="1" applyBorder="1" applyAlignment="1" applyProtection="1">
      <alignment horizontal="center" vertical="center" shrinkToFit="1"/>
      <protection locked="0"/>
    </xf>
    <xf numFmtId="0" fontId="10" fillId="4" borderId="33" xfId="0" applyFont="1" applyFill="1" applyBorder="1" applyAlignment="1">
      <alignment horizontal="center" wrapText="1"/>
    </xf>
    <xf numFmtId="2" fontId="0" fillId="0" borderId="31" xfId="0" applyNumberFormat="1" applyBorder="1" applyAlignment="1">
      <alignment horizontal="center" vertical="center" shrinkToFit="1"/>
    </xf>
    <xf numFmtId="49" fontId="0" fillId="0" borderId="31" xfId="0" applyNumberFormat="1" applyBorder="1" applyAlignment="1">
      <alignment horizontal="center" vertical="center" shrinkToFit="1"/>
    </xf>
    <xf numFmtId="49" fontId="8" fillId="28" borderId="0" xfId="0" applyNumberFormat="1" applyFont="1" applyFill="1" applyAlignment="1">
      <alignment horizontal="center" vertical="top"/>
    </xf>
    <xf numFmtId="166" fontId="18" fillId="0" borderId="31" xfId="0" applyNumberFormat="1" applyFont="1" applyBorder="1" applyAlignment="1">
      <alignment horizontal="center" vertical="top" shrinkToFit="1"/>
    </xf>
    <xf numFmtId="49" fontId="18" fillId="0" borderId="31" xfId="0" applyNumberFormat="1" applyFont="1" applyBorder="1" applyAlignment="1">
      <alignment horizontal="center" vertical="top"/>
    </xf>
    <xf numFmtId="0" fontId="0" fillId="8" borderId="88" xfId="0" applyFill="1" applyBorder="1" applyAlignment="1" applyProtection="1">
      <alignment horizontal="center"/>
      <protection locked="0"/>
    </xf>
    <xf numFmtId="2" fontId="0" fillId="0" borderId="32" xfId="0" applyNumberFormat="1" applyBorder="1" applyAlignment="1">
      <alignment horizontal="left"/>
    </xf>
    <xf numFmtId="2" fontId="0" fillId="0" borderId="34" xfId="0" applyNumberFormat="1" applyBorder="1" applyAlignment="1">
      <alignment horizontal="left"/>
    </xf>
    <xf numFmtId="2" fontId="0" fillId="0" borderId="33" xfId="0" applyNumberFormat="1" applyBorder="1" applyAlignment="1">
      <alignment horizontal="left"/>
    </xf>
    <xf numFmtId="0" fontId="10" fillId="8" borderId="134" xfId="0" applyFont="1" applyFill="1" applyBorder="1" applyAlignment="1" applyProtection="1">
      <alignment horizontal="center" vertical="center" wrapText="1" shrinkToFit="1"/>
      <protection locked="0"/>
    </xf>
    <xf numFmtId="37" fontId="0" fillId="0" borderId="4" xfId="0" applyNumberFormat="1" applyBorder="1" applyAlignment="1">
      <alignment horizontal="left" vertical="center"/>
    </xf>
    <xf numFmtId="0" fontId="0" fillId="0" borderId="34" xfId="0" applyBorder="1" applyAlignment="1">
      <alignment shrinkToFit="1"/>
    </xf>
    <xf numFmtId="49" fontId="0" fillId="8" borderId="29" xfId="0" applyNumberFormat="1" applyFill="1" applyBorder="1" applyAlignment="1" applyProtection="1">
      <alignment horizontal="left" vertical="center" indent="1" readingOrder="1"/>
      <protection locked="0"/>
    </xf>
    <xf numFmtId="49" fontId="0" fillId="8" borderId="30" xfId="0" applyNumberFormat="1" applyFill="1" applyBorder="1" applyAlignment="1" applyProtection="1">
      <alignment horizontal="left" vertical="center" indent="1" readingOrder="1"/>
      <protection locked="0"/>
    </xf>
    <xf numFmtId="169" fontId="10" fillId="8" borderId="31" xfId="0" applyNumberFormat="1" applyFont="1" applyFill="1" applyBorder="1" applyAlignment="1" applyProtection="1">
      <alignment horizontal="center" vertical="top"/>
      <protection locked="0"/>
    </xf>
    <xf numFmtId="0" fontId="0" fillId="0" borderId="0" xfId="0" applyAlignment="1">
      <alignment horizontal="center" vertical="center"/>
    </xf>
    <xf numFmtId="0" fontId="11" fillId="0" borderId="0" xfId="0" applyFont="1"/>
    <xf numFmtId="0" fontId="0" fillId="0" borderId="32" xfId="0" applyBorder="1"/>
    <xf numFmtId="0" fontId="0" fillId="0" borderId="21" xfId="0" applyBorder="1"/>
    <xf numFmtId="0" fontId="0" fillId="0" borderId="33" xfId="0" applyBorder="1"/>
    <xf numFmtId="0" fontId="0" fillId="0" borderId="34" xfId="0" applyBorder="1"/>
    <xf numFmtId="38" fontId="14" fillId="8" borderId="31" xfId="0" applyNumberFormat="1" applyFont="1" applyFill="1" applyBorder="1" applyAlignment="1" applyProtection="1">
      <alignment horizontal="center" vertical="center" wrapText="1"/>
      <protection locked="0"/>
    </xf>
    <xf numFmtId="0" fontId="10" fillId="7" borderId="18" xfId="0" applyFont="1" applyFill="1" applyBorder="1"/>
    <xf numFmtId="37" fontId="0" fillId="0" borderId="5" xfId="0" applyNumberFormat="1" applyBorder="1" applyAlignment="1">
      <alignment horizontal="left" vertical="center"/>
    </xf>
    <xf numFmtId="0" fontId="18" fillId="0" borderId="33" xfId="0" applyFont="1" applyBorder="1"/>
    <xf numFmtId="0" fontId="48" fillId="0" borderId="33" xfId="0" applyFont="1" applyBorder="1"/>
    <xf numFmtId="0" fontId="18" fillId="0" borderId="34" xfId="0" applyFont="1" applyBorder="1"/>
    <xf numFmtId="0" fontId="0" fillId="0" borderId="2" xfId="0" applyBorder="1"/>
    <xf numFmtId="0" fontId="5" fillId="0" borderId="18" xfId="0" applyFont="1" applyBorder="1" applyAlignment="1">
      <alignment horizontal="left" wrapText="1" indent="1"/>
    </xf>
    <xf numFmtId="0" fontId="29" fillId="4" borderId="31" xfId="0" applyFont="1" applyFill="1" applyBorder="1" applyAlignment="1">
      <alignment horizontal="center" vertical="center"/>
    </xf>
    <xf numFmtId="0" fontId="0" fillId="0" borderId="31" xfId="0" applyBorder="1" applyAlignment="1">
      <alignment wrapText="1"/>
    </xf>
    <xf numFmtId="0" fontId="0" fillId="31" borderId="31" xfId="0" applyFill="1" applyBorder="1" applyAlignment="1">
      <alignment wrapText="1"/>
    </xf>
    <xf numFmtId="0" fontId="0" fillId="32" borderId="31" xfId="0" applyFill="1" applyBorder="1" applyAlignment="1">
      <alignment wrapText="1"/>
    </xf>
    <xf numFmtId="0" fontId="0" fillId="0" borderId="31" xfId="0" applyBorder="1" applyAlignment="1">
      <alignment horizontal="center" vertical="center"/>
    </xf>
    <xf numFmtId="0" fontId="0" fillId="0" borderId="31" xfId="0" applyBorder="1" applyAlignment="1">
      <alignment horizontal="center"/>
    </xf>
    <xf numFmtId="1" fontId="0" fillId="31" borderId="31" xfId="0" applyNumberFormat="1" applyFill="1" applyBorder="1" applyAlignment="1">
      <alignment horizontal="center"/>
    </xf>
    <xf numFmtId="1" fontId="0" fillId="32" borderId="31" xfId="0" applyNumberFormat="1" applyFill="1" applyBorder="1" applyAlignment="1">
      <alignment horizontal="center"/>
    </xf>
    <xf numFmtId="0" fontId="0" fillId="0" borderId="31" xfId="0" applyBorder="1" applyAlignment="1">
      <alignment horizontal="center" vertical="center" textRotation="90" wrapText="1"/>
    </xf>
    <xf numFmtId="0" fontId="0" fillId="0" borderId="1" xfId="0" applyBorder="1"/>
    <xf numFmtId="0" fontId="31" fillId="12" borderId="16" xfId="0" applyFont="1" applyFill="1" applyBorder="1" applyAlignment="1">
      <alignment horizontal="center" vertical="center" wrapText="1"/>
    </xf>
    <xf numFmtId="0" fontId="8" fillId="9" borderId="43" xfId="0" applyFont="1" applyFill="1" applyBorder="1" applyAlignment="1">
      <alignment horizontal="center" shrinkToFit="1"/>
    </xf>
    <xf numFmtId="0" fontId="0" fillId="0" borderId="0" xfId="0" applyAlignment="1">
      <alignment vertical="center"/>
    </xf>
    <xf numFmtId="0" fontId="0" fillId="12" borderId="17" xfId="0" applyFill="1" applyBorder="1"/>
    <xf numFmtId="0" fontId="0" fillId="12" borderId="17" xfId="0" applyFill="1" applyBorder="1" applyAlignment="1">
      <alignment vertical="center"/>
    </xf>
    <xf numFmtId="0" fontId="10" fillId="4" borderId="31" xfId="0" applyFont="1" applyFill="1" applyBorder="1" applyAlignment="1">
      <alignment horizontal="center"/>
    </xf>
    <xf numFmtId="1" fontId="0" fillId="12" borderId="31" xfId="0" applyNumberFormat="1" applyFill="1" applyBorder="1" applyAlignment="1">
      <alignment horizontal="center" vertical="center"/>
    </xf>
    <xf numFmtId="1" fontId="0" fillId="12" borderId="122" xfId="0" applyNumberFormat="1" applyFill="1" applyBorder="1" applyAlignment="1">
      <alignment horizontal="center" vertical="center"/>
    </xf>
    <xf numFmtId="0" fontId="65" fillId="0" borderId="31" xfId="0" applyFont="1" applyBorder="1" applyAlignment="1">
      <alignment horizontal="center" vertical="center" wrapText="1"/>
    </xf>
    <xf numFmtId="166" fontId="0" fillId="0" borderId="0" xfId="0" applyNumberFormat="1"/>
    <xf numFmtId="168" fontId="0" fillId="0" borderId="0" xfId="0" applyNumberFormat="1"/>
    <xf numFmtId="0" fontId="11" fillId="12" borderId="20" xfId="0" applyFont="1" applyFill="1" applyBorder="1" applyAlignment="1">
      <alignment horizontal="center"/>
    </xf>
    <xf numFmtId="0" fontId="0" fillId="12" borderId="21" xfId="0" applyFill="1" applyBorder="1" applyAlignment="1">
      <alignment vertical="top"/>
    </xf>
    <xf numFmtId="0" fontId="10" fillId="0" borderId="31" xfId="0" applyFont="1" applyBorder="1" applyAlignment="1">
      <alignment horizontal="center" vertical="center"/>
    </xf>
    <xf numFmtId="0" fontId="10" fillId="0" borderId="31" xfId="0" applyFont="1" applyBorder="1" applyAlignment="1">
      <alignment horizontal="center" vertical="center" wrapText="1" shrinkToFit="1"/>
    </xf>
    <xf numFmtId="0" fontId="8" fillId="11" borderId="0" xfId="0" applyFont="1" applyFill="1"/>
    <xf numFmtId="0" fontId="36" fillId="11" borderId="5" xfId="0" applyFont="1" applyFill="1" applyBorder="1" applyAlignment="1">
      <alignment vertical="top"/>
    </xf>
    <xf numFmtId="49" fontId="10" fillId="0" borderId="16" xfId="0" applyNumberFormat="1" applyFont="1" applyBorder="1" applyAlignment="1">
      <alignment horizontal="centerContinuous" vertical="center" wrapText="1"/>
    </xf>
    <xf numFmtId="49" fontId="49" fillId="11" borderId="19" xfId="0" applyNumberFormat="1" applyFont="1" applyFill="1" applyBorder="1" applyAlignment="1">
      <alignment horizontal="center" vertical="center" wrapText="1"/>
    </xf>
    <xf numFmtId="49" fontId="49" fillId="11" borderId="21" xfId="0" applyNumberFormat="1" applyFont="1" applyFill="1" applyBorder="1" applyAlignment="1">
      <alignment horizontal="center" vertical="center" wrapText="1"/>
    </xf>
    <xf numFmtId="49" fontId="10" fillId="0" borderId="31" xfId="0" applyNumberFormat="1" applyFont="1" applyBorder="1" applyAlignment="1">
      <alignment horizontal="centerContinuous" vertical="center" wrapText="1"/>
    </xf>
    <xf numFmtId="0" fontId="10" fillId="0" borderId="19" xfId="0" applyFont="1" applyBorder="1" applyAlignment="1">
      <alignment horizontal="center" vertical="center" wrapText="1"/>
    </xf>
    <xf numFmtId="0" fontId="13" fillId="0" borderId="0" xfId="0" applyFont="1" applyAlignment="1">
      <alignment vertical="center"/>
    </xf>
    <xf numFmtId="0" fontId="8" fillId="11" borderId="5" xfId="0" applyFont="1" applyFill="1" applyBorder="1"/>
    <xf numFmtId="0" fontId="18" fillId="0" borderId="0" xfId="0" applyFont="1" applyAlignment="1">
      <alignment vertical="center"/>
    </xf>
    <xf numFmtId="0" fontId="0" fillId="0" borderId="31" xfId="0" applyBorder="1" applyAlignment="1">
      <alignment horizontal="center" vertical="center" wrapText="1"/>
    </xf>
    <xf numFmtId="0" fontId="10" fillId="4" borderId="31" xfId="0" applyFont="1" applyFill="1" applyBorder="1" applyAlignment="1">
      <alignment horizontal="left" vertical="top" wrapText="1" indent="2"/>
    </xf>
    <xf numFmtId="0" fontId="0" fillId="12" borderId="31" xfId="0" applyFill="1" applyBorder="1" applyAlignment="1">
      <alignment horizontal="center" vertical="center" wrapText="1"/>
    </xf>
    <xf numFmtId="4" fontId="25" fillId="11" borderId="17" xfId="0" applyNumberFormat="1" applyFont="1" applyFill="1" applyBorder="1" applyAlignment="1">
      <alignment horizontal="center" vertical="center"/>
    </xf>
    <xf numFmtId="0" fontId="8" fillId="6" borderId="19" xfId="0" applyFont="1" applyFill="1" applyBorder="1" applyAlignment="1">
      <alignment horizontal="center" vertical="top" wrapText="1"/>
    </xf>
    <xf numFmtId="0" fontId="8" fillId="6" borderId="21" xfId="0" applyFont="1" applyFill="1" applyBorder="1"/>
    <xf numFmtId="1" fontId="10" fillId="0" borderId="21" xfId="0" applyNumberFormat="1" applyFont="1" applyBorder="1" applyAlignment="1">
      <alignment horizontal="center" vertical="center" shrinkToFit="1"/>
    </xf>
    <xf numFmtId="0" fontId="8" fillId="6" borderId="3" xfId="0" applyFont="1" applyFill="1" applyBorder="1"/>
    <xf numFmtId="0" fontId="8" fillId="6" borderId="5" xfId="0" applyFont="1" applyFill="1" applyBorder="1"/>
    <xf numFmtId="0" fontId="10" fillId="0" borderId="55" xfId="0" applyFont="1" applyBorder="1" applyAlignment="1">
      <alignment horizontal="center" vertical="center" wrapText="1"/>
    </xf>
    <xf numFmtId="0" fontId="10" fillId="0" borderId="55" xfId="0" applyFont="1" applyBorder="1" applyAlignment="1">
      <alignment horizontal="center" vertical="center"/>
    </xf>
    <xf numFmtId="0" fontId="8" fillId="6" borderId="5" xfId="0" applyFont="1" applyFill="1" applyBorder="1" applyAlignment="1">
      <alignment wrapText="1"/>
    </xf>
    <xf numFmtId="0" fontId="10" fillId="0" borderId="47" xfId="0" applyFont="1" applyBorder="1" applyAlignment="1">
      <alignment horizontal="center" vertical="center" wrapText="1"/>
    </xf>
    <xf numFmtId="0" fontId="10" fillId="0" borderId="50" xfId="0" applyFont="1" applyBorder="1" applyAlignment="1">
      <alignment horizontal="center" vertical="center" wrapText="1"/>
    </xf>
    <xf numFmtId="0" fontId="8" fillId="6" borderId="21" xfId="0" applyFont="1" applyFill="1" applyBorder="1" applyAlignment="1">
      <alignment wrapText="1"/>
    </xf>
    <xf numFmtId="0" fontId="10" fillId="12" borderId="49" xfId="0" applyFont="1" applyFill="1" applyBorder="1" applyAlignment="1">
      <alignment horizontal="center" vertical="center" wrapText="1"/>
    </xf>
    <xf numFmtId="0" fontId="8" fillId="6" borderId="3" xfId="0" applyFont="1" applyFill="1" applyBorder="1" applyAlignment="1">
      <alignment wrapText="1"/>
    </xf>
    <xf numFmtId="0" fontId="10" fillId="0" borderId="47" xfId="0" applyFont="1" applyBorder="1" applyAlignment="1">
      <alignment horizontal="center" vertical="center"/>
    </xf>
    <xf numFmtId="16" fontId="10" fillId="0" borderId="47" xfId="0" applyNumberFormat="1" applyFont="1" applyBorder="1" applyAlignment="1">
      <alignment horizontal="center" vertical="center"/>
    </xf>
    <xf numFmtId="0" fontId="28" fillId="0" borderId="0" xfId="0" applyFont="1" applyAlignment="1">
      <alignment horizontal="center" wrapText="1"/>
    </xf>
    <xf numFmtId="0" fontId="10" fillId="0" borderId="49" xfId="0" applyFont="1" applyBorder="1" applyAlignment="1">
      <alignment horizontal="center" vertical="center"/>
    </xf>
    <xf numFmtId="0" fontId="10" fillId="0" borderId="49" xfId="0" applyFont="1" applyBorder="1" applyAlignment="1">
      <alignment horizontal="center" vertical="center" wrapText="1"/>
    </xf>
    <xf numFmtId="164" fontId="10" fillId="0" borderId="55" xfId="0" applyNumberFormat="1" applyFont="1" applyBorder="1" applyAlignment="1">
      <alignment horizontal="center" vertical="center" wrapText="1"/>
    </xf>
    <xf numFmtId="0" fontId="8" fillId="6" borderId="4" xfId="0" applyFont="1" applyFill="1" applyBorder="1" applyAlignment="1">
      <alignment horizontal="center" vertical="top"/>
    </xf>
    <xf numFmtId="0" fontId="8" fillId="6" borderId="19" xfId="0" applyFont="1" applyFill="1" applyBorder="1" applyAlignment="1">
      <alignment horizontal="center" vertical="top"/>
    </xf>
    <xf numFmtId="0" fontId="8" fillId="6" borderId="16" xfId="0" applyFont="1" applyFill="1" applyBorder="1" applyAlignment="1">
      <alignment horizontal="center" vertical="top"/>
    </xf>
    <xf numFmtId="0" fontId="8" fillId="6" borderId="18" xfId="0" applyFont="1" applyFill="1" applyBorder="1" applyAlignment="1">
      <alignment wrapText="1"/>
    </xf>
    <xf numFmtId="0" fontId="43" fillId="14" borderId="1" xfId="0" applyFont="1" applyFill="1" applyBorder="1" applyAlignment="1">
      <alignment horizontal="left" vertical="center" shrinkToFit="1"/>
    </xf>
    <xf numFmtId="0" fontId="8" fillId="6" borderId="0" xfId="0" applyFont="1" applyFill="1" applyAlignment="1">
      <alignment wrapText="1"/>
    </xf>
    <xf numFmtId="2" fontId="15" fillId="0" borderId="31" xfId="0" applyNumberFormat="1" applyFont="1" applyBorder="1" applyAlignment="1">
      <alignment horizontal="center" vertical="center"/>
    </xf>
    <xf numFmtId="0" fontId="10" fillId="0" borderId="0" xfId="0" applyFont="1"/>
    <xf numFmtId="0" fontId="8" fillId="15" borderId="3" xfId="0" applyFont="1" applyFill="1" applyBorder="1" applyAlignment="1">
      <alignment wrapText="1"/>
    </xf>
    <xf numFmtId="0" fontId="0" fillId="0" borderId="55" xfId="0" applyBorder="1"/>
    <xf numFmtId="0" fontId="8" fillId="15" borderId="5" xfId="0" applyFont="1" applyFill="1" applyBorder="1" applyAlignment="1">
      <alignment wrapText="1"/>
    </xf>
    <xf numFmtId="0" fontId="10" fillId="0" borderId="48" xfId="0" applyFont="1" applyBorder="1" applyAlignment="1">
      <alignment horizontal="center" vertical="center"/>
    </xf>
    <xf numFmtId="0" fontId="0" fillId="0" borderId="47" xfId="0" applyBorder="1" applyAlignment="1">
      <alignment horizontal="center" vertical="center" wrapText="1"/>
    </xf>
    <xf numFmtId="0" fontId="8" fillId="15" borderId="21" xfId="0" applyFont="1" applyFill="1" applyBorder="1" applyAlignment="1">
      <alignment wrapText="1"/>
    </xf>
    <xf numFmtId="0" fontId="10" fillId="12" borderId="31" xfId="0" applyFont="1" applyFill="1" applyBorder="1" applyAlignment="1">
      <alignment horizontal="center" vertical="center"/>
    </xf>
    <xf numFmtId="0" fontId="8" fillId="15" borderId="19" xfId="0" applyFont="1" applyFill="1" applyBorder="1" applyAlignment="1">
      <alignment horizontal="center" vertical="top" wrapText="1"/>
    </xf>
    <xf numFmtId="0" fontId="8" fillId="15" borderId="16" xfId="0" applyFont="1" applyFill="1" applyBorder="1" applyAlignment="1">
      <alignment horizontal="center" vertical="top" wrapText="1"/>
    </xf>
    <xf numFmtId="0" fontId="8" fillId="15" borderId="18" xfId="0" applyFont="1" applyFill="1" applyBorder="1" applyAlignment="1">
      <alignment wrapText="1"/>
    </xf>
    <xf numFmtId="0" fontId="0" fillId="29" borderId="31" xfId="0" applyFill="1" applyBorder="1"/>
    <xf numFmtId="0" fontId="0" fillId="29" borderId="32" xfId="0" applyFill="1" applyBorder="1"/>
    <xf numFmtId="0" fontId="10" fillId="12" borderId="32" xfId="0" applyFont="1" applyFill="1" applyBorder="1" applyAlignment="1">
      <alignment horizontal="center" vertical="center"/>
    </xf>
    <xf numFmtId="0" fontId="8" fillId="15" borderId="17" xfId="0" applyFont="1" applyFill="1" applyBorder="1" applyAlignment="1">
      <alignment wrapText="1"/>
    </xf>
    <xf numFmtId="0" fontId="9" fillId="0" borderId="32" xfId="0" applyFont="1" applyBorder="1" applyAlignment="1">
      <alignment horizontal="center" vertical="center" wrapText="1"/>
    </xf>
    <xf numFmtId="0" fontId="35" fillId="0" borderId="22" xfId="0" applyFont="1" applyBorder="1" applyAlignment="1">
      <alignment horizontal="center" vertical="center" wrapText="1"/>
    </xf>
    <xf numFmtId="0" fontId="8" fillId="15" borderId="5" xfId="0" applyFont="1" applyFill="1" applyBorder="1"/>
    <xf numFmtId="2" fontId="10" fillId="0" borderId="47" xfId="0" applyNumberFormat="1" applyFont="1" applyBorder="1" applyAlignment="1">
      <alignment horizontal="center" vertical="center" wrapText="1"/>
    </xf>
    <xf numFmtId="0" fontId="8" fillId="15" borderId="21" xfId="0" applyFont="1" applyFill="1" applyBorder="1"/>
    <xf numFmtId="2" fontId="10" fillId="0" borderId="50" xfId="0" applyNumberFormat="1" applyFont="1" applyBorder="1" applyAlignment="1">
      <alignment horizontal="center" vertical="center" wrapText="1"/>
    </xf>
    <xf numFmtId="0" fontId="8" fillId="15" borderId="3" xfId="0" applyFont="1" applyFill="1" applyBorder="1"/>
    <xf numFmtId="0" fontId="0" fillId="0" borderId="55" xfId="0" applyBorder="1" applyAlignment="1">
      <alignment horizontal="center" vertical="center" wrapText="1"/>
    </xf>
    <xf numFmtId="2" fontId="10" fillId="0" borderId="49" xfId="0" applyNumberFormat="1" applyFont="1" applyBorder="1" applyAlignment="1">
      <alignment horizontal="center" vertical="center" wrapText="1"/>
    </xf>
    <xf numFmtId="0" fontId="35" fillId="0" borderId="16" xfId="0" applyFont="1" applyBorder="1" applyAlignment="1">
      <alignment horizontal="center" vertical="center" wrapText="1"/>
    </xf>
    <xf numFmtId="0" fontId="8" fillId="15" borderId="4" xfId="0" applyFont="1" applyFill="1" applyBorder="1" applyAlignment="1">
      <alignment horizontal="center" vertical="center" wrapText="1"/>
    </xf>
    <xf numFmtId="0" fontId="31" fillId="15" borderId="0" xfId="0" applyFont="1" applyFill="1" applyAlignment="1">
      <alignment wrapText="1"/>
    </xf>
    <xf numFmtId="0" fontId="10" fillId="0" borderId="34" xfId="0" applyFont="1" applyBorder="1" applyAlignment="1">
      <alignment horizontal="center" vertical="center"/>
    </xf>
    <xf numFmtId="4" fontId="25" fillId="15" borderId="17" xfId="0" applyNumberFormat="1" applyFont="1" applyFill="1" applyBorder="1" applyAlignment="1">
      <alignment horizontal="center" vertical="center"/>
    </xf>
    <xf numFmtId="49" fontId="25" fillId="15" borderId="17" xfId="0" applyNumberFormat="1" applyFont="1" applyFill="1" applyBorder="1" applyAlignment="1">
      <alignment vertical="center"/>
    </xf>
    <xf numFmtId="49" fontId="25" fillId="15" borderId="18" xfId="0" applyNumberFormat="1" applyFont="1" applyFill="1" applyBorder="1" applyAlignment="1">
      <alignment vertical="center"/>
    </xf>
    <xf numFmtId="0" fontId="8" fillId="15" borderId="0" xfId="0" applyFont="1" applyFill="1"/>
    <xf numFmtId="2" fontId="15" fillId="12" borderId="31" xfId="0" applyNumberFormat="1" applyFont="1" applyFill="1" applyBorder="1" applyAlignment="1">
      <alignment horizontal="center" vertical="center"/>
    </xf>
    <xf numFmtId="0" fontId="8" fillId="17" borderId="2" xfId="0" applyFont="1" applyFill="1" applyBorder="1"/>
    <xf numFmtId="0" fontId="8" fillId="17" borderId="3" xfId="0" applyFont="1" applyFill="1" applyBorder="1"/>
    <xf numFmtId="0" fontId="8" fillId="17" borderId="5" xfId="0" applyFont="1" applyFill="1" applyBorder="1"/>
    <xf numFmtId="0" fontId="8" fillId="17" borderId="21" xfId="0" applyFont="1" applyFill="1" applyBorder="1"/>
    <xf numFmtId="0" fontId="8" fillId="17" borderId="18" xfId="0" applyFont="1" applyFill="1" applyBorder="1"/>
    <xf numFmtId="0" fontId="8" fillId="17" borderId="16" xfId="0" applyFont="1" applyFill="1" applyBorder="1" applyAlignment="1">
      <alignment horizontal="center" vertical="top"/>
    </xf>
    <xf numFmtId="0" fontId="8" fillId="17" borderId="16" xfId="0" applyFont="1" applyFill="1" applyBorder="1" applyAlignment="1">
      <alignment horizontal="center" vertical="center"/>
    </xf>
    <xf numFmtId="0" fontId="0" fillId="0" borderId="32" xfId="0" applyBorder="1" applyAlignment="1">
      <alignment horizontal="center" vertical="center"/>
    </xf>
    <xf numFmtId="4" fontId="25" fillId="17" borderId="17" xfId="0" applyNumberFormat="1" applyFont="1" applyFill="1" applyBorder="1" applyAlignment="1">
      <alignment horizontal="center" vertical="center"/>
    </xf>
    <xf numFmtId="49" fontId="25" fillId="17" borderId="17" xfId="0" applyNumberFormat="1" applyFont="1" applyFill="1" applyBorder="1" applyAlignment="1">
      <alignment vertical="center"/>
    </xf>
    <xf numFmtId="49" fontId="25" fillId="17" borderId="18" xfId="0" applyNumberFormat="1" applyFont="1" applyFill="1" applyBorder="1" applyAlignment="1">
      <alignment vertical="center"/>
    </xf>
    <xf numFmtId="0" fontId="8" fillId="17" borderId="0" xfId="0" applyFont="1" applyFill="1"/>
    <xf numFmtId="0" fontId="0" fillId="0" borderId="0" xfId="0" applyAlignment="1">
      <alignment wrapText="1"/>
    </xf>
    <xf numFmtId="2" fontId="14" fillId="0" borderId="31" xfId="0" applyNumberFormat="1" applyFont="1" applyBorder="1" applyAlignment="1">
      <alignment horizontal="center" vertical="center"/>
    </xf>
    <xf numFmtId="49" fontId="0" fillId="0" borderId="0" xfId="0" applyNumberFormat="1"/>
    <xf numFmtId="49" fontId="25" fillId="11" borderId="2" xfId="0" applyNumberFormat="1" applyFont="1" applyFill="1" applyBorder="1" applyAlignment="1">
      <alignment vertical="center"/>
    </xf>
    <xf numFmtId="49" fontId="25" fillId="11" borderId="3" xfId="0" applyNumberFormat="1" applyFont="1" applyFill="1" applyBorder="1" applyAlignment="1">
      <alignment vertical="center"/>
    </xf>
    <xf numFmtId="0" fontId="10" fillId="12" borderId="47" xfId="0" applyFont="1" applyFill="1" applyBorder="1" applyAlignment="1">
      <alignment horizontal="center" vertical="center"/>
    </xf>
    <xf numFmtId="169" fontId="10" fillId="8" borderId="31" xfId="0" applyNumberFormat="1" applyFont="1" applyFill="1" applyBorder="1" applyAlignment="1" applyProtection="1">
      <alignment horizontal="center" vertical="center"/>
      <protection locked="0"/>
    </xf>
    <xf numFmtId="0" fontId="10" fillId="8" borderId="31" xfId="0" applyFont="1" applyFill="1" applyBorder="1" applyAlignment="1" applyProtection="1">
      <alignment horizontal="center" vertical="center"/>
      <protection locked="0"/>
    </xf>
    <xf numFmtId="0" fontId="10" fillId="8" borderId="48" xfId="0" applyFont="1" applyFill="1" applyBorder="1" applyAlignment="1" applyProtection="1">
      <alignment horizontal="center" vertical="center"/>
      <protection locked="0"/>
    </xf>
    <xf numFmtId="0" fontId="10" fillId="8" borderId="31" xfId="0" applyFont="1" applyFill="1" applyBorder="1" applyAlignment="1" applyProtection="1">
      <alignment horizontal="center" vertical="center" wrapText="1"/>
      <protection locked="0"/>
    </xf>
    <xf numFmtId="0" fontId="0" fillId="0" borderId="19" xfId="0" applyBorder="1" applyAlignment="1">
      <alignment horizontal="left"/>
    </xf>
    <xf numFmtId="0" fontId="8" fillId="15" borderId="0" xfId="0" applyFont="1" applyFill="1" applyAlignment="1">
      <alignment horizontal="left" vertical="center" wrapText="1" indent="1"/>
    </xf>
    <xf numFmtId="0" fontId="8" fillId="15" borderId="5" xfId="0" applyFont="1" applyFill="1" applyBorder="1" applyAlignment="1">
      <alignment horizontal="left" vertical="center" wrapText="1" indent="1"/>
    </xf>
    <xf numFmtId="0" fontId="8" fillId="6" borderId="0" xfId="0" applyFont="1" applyFill="1" applyAlignment="1">
      <alignment horizontal="left" vertical="center" wrapText="1" indent="1"/>
    </xf>
    <xf numFmtId="0" fontId="8" fillId="6" borderId="5" xfId="0" applyFont="1" applyFill="1" applyBorder="1" applyAlignment="1">
      <alignment horizontal="left" vertical="center" wrapText="1" indent="1"/>
    </xf>
    <xf numFmtId="0" fontId="8" fillId="11" borderId="0" xfId="0" applyFont="1" applyFill="1" applyAlignment="1">
      <alignment horizontal="left" vertical="center" wrapText="1" indent="1"/>
    </xf>
    <xf numFmtId="0" fontId="8" fillId="11" borderId="5" xfId="0" applyFont="1" applyFill="1" applyBorder="1" applyAlignment="1">
      <alignment horizontal="left" vertical="center" wrapText="1" indent="1"/>
    </xf>
    <xf numFmtId="0" fontId="10" fillId="29" borderId="20" xfId="0" applyFont="1" applyFill="1" applyBorder="1" applyAlignment="1">
      <alignment horizontal="center" shrinkToFit="1"/>
    </xf>
    <xf numFmtId="0" fontId="0" fillId="0" borderId="0" xfId="0" applyAlignment="1">
      <alignment horizontal="center" vertical="top"/>
    </xf>
    <xf numFmtId="0" fontId="10" fillId="0" borderId="152" xfId="0" applyFont="1" applyBorder="1" applyAlignment="1">
      <alignment horizontal="center" vertical="top"/>
    </xf>
    <xf numFmtId="0" fontId="10" fillId="8" borderId="18" xfId="0" applyFont="1" applyFill="1" applyBorder="1" applyAlignment="1" applyProtection="1">
      <alignment horizontal="centerContinuous" vertical="center" wrapText="1"/>
      <protection locked="0"/>
    </xf>
    <xf numFmtId="0" fontId="10" fillId="8" borderId="33" xfId="0" applyFont="1" applyFill="1" applyBorder="1" applyAlignment="1" applyProtection="1">
      <alignment horizontal="centerContinuous" vertical="center" wrapText="1"/>
      <protection locked="0"/>
    </xf>
    <xf numFmtId="0" fontId="10" fillId="0" borderId="31" xfId="0" applyFont="1" applyBorder="1" applyAlignment="1">
      <alignment horizontal="center" vertical="center" wrapText="1"/>
    </xf>
    <xf numFmtId="49" fontId="0" fillId="5" borderId="20" xfId="0" applyNumberFormat="1" applyFill="1" applyBorder="1"/>
    <xf numFmtId="49" fontId="0" fillId="5" borderId="20" xfId="0" applyNumberFormat="1" applyFill="1" applyBorder="1" applyAlignment="1">
      <alignment horizontal="right" indent="1"/>
    </xf>
    <xf numFmtId="0" fontId="0" fillId="5" borderId="20" xfId="0" applyFill="1" applyBorder="1" applyAlignment="1">
      <alignment horizontal="left"/>
    </xf>
    <xf numFmtId="49" fontId="0" fillId="5" borderId="0" xfId="0" applyNumberFormat="1" applyFill="1"/>
    <xf numFmtId="49" fontId="22" fillId="5" borderId="0" xfId="0" applyNumberFormat="1" applyFont="1" applyFill="1" applyAlignment="1">
      <alignment horizontal="left" indent="2"/>
    </xf>
    <xf numFmtId="0" fontId="0" fillId="5" borderId="20" xfId="0" applyFill="1" applyBorder="1" applyAlignment="1">
      <alignment horizontal="center"/>
    </xf>
    <xf numFmtId="0" fontId="0" fillId="5" borderId="0" xfId="0" applyFill="1" applyAlignment="1">
      <alignment horizontal="center"/>
    </xf>
    <xf numFmtId="38" fontId="10" fillId="0" borderId="31" xfId="0" applyNumberFormat="1" applyFont="1" applyBorder="1" applyAlignment="1">
      <alignment horizontal="center" vertical="center" wrapText="1"/>
    </xf>
    <xf numFmtId="49" fontId="25" fillId="15" borderId="2" xfId="0" applyNumberFormat="1" applyFont="1" applyFill="1" applyBorder="1" applyAlignment="1">
      <alignment vertical="center"/>
    </xf>
    <xf numFmtId="0" fontId="0" fillId="10" borderId="0" xfId="0" applyFill="1"/>
    <xf numFmtId="0" fontId="5" fillId="0" borderId="31" xfId="0" applyFont="1" applyBorder="1" applyAlignment="1">
      <alignment horizontal="center" vertical="top" wrapText="1"/>
    </xf>
    <xf numFmtId="0" fontId="11" fillId="0" borderId="0" xfId="0" applyFont="1" applyAlignment="1">
      <alignment horizontal="center"/>
    </xf>
    <xf numFmtId="0" fontId="0" fillId="0" borderId="0" xfId="0" applyAlignment="1">
      <alignment horizontal="center"/>
    </xf>
    <xf numFmtId="0" fontId="8" fillId="11" borderId="1" xfId="0" applyFont="1" applyFill="1" applyBorder="1" applyAlignment="1">
      <alignment horizontal="center" vertical="top"/>
    </xf>
    <xf numFmtId="0" fontId="0" fillId="0" borderId="31" xfId="0" applyBorder="1" applyAlignment="1">
      <alignment horizontal="center" vertical="center" shrinkToFit="1"/>
    </xf>
    <xf numFmtId="0" fontId="0" fillId="0" borderId="17" xfId="0" applyBorder="1" applyAlignment="1">
      <alignment horizontal="left" vertical="top" wrapText="1"/>
    </xf>
    <xf numFmtId="0" fontId="0" fillId="0" borderId="18" xfId="0" applyBorder="1" applyAlignment="1">
      <alignment horizontal="left" vertical="top" wrapText="1"/>
    </xf>
    <xf numFmtId="0" fontId="0" fillId="0" borderId="31" xfId="0" applyBorder="1" applyAlignment="1">
      <alignment horizontal="left" vertical="top" wrapText="1"/>
    </xf>
    <xf numFmtId="0" fontId="10" fillId="0" borderId="32" xfId="0" applyFont="1" applyBorder="1" applyAlignment="1">
      <alignment horizontal="center" vertical="center" wrapText="1"/>
    </xf>
    <xf numFmtId="0" fontId="10" fillId="8" borderId="32" xfId="0" applyFont="1" applyFill="1" applyBorder="1" applyAlignment="1" applyProtection="1">
      <alignment horizontal="center" vertical="center" wrapText="1"/>
      <protection locked="0"/>
    </xf>
    <xf numFmtId="0" fontId="10" fillId="8" borderId="33" xfId="0" applyFont="1" applyFill="1" applyBorder="1" applyAlignment="1" applyProtection="1">
      <alignment horizontal="center" vertical="center" wrapText="1"/>
      <protection locked="0"/>
    </xf>
    <xf numFmtId="0" fontId="10" fillId="0" borderId="34" xfId="0" applyFont="1" applyBorder="1" applyAlignment="1">
      <alignment horizontal="center" vertical="center" wrapText="1"/>
    </xf>
    <xf numFmtId="0" fontId="8" fillId="6" borderId="1" xfId="0" applyFont="1" applyFill="1" applyBorder="1" applyAlignment="1">
      <alignment horizontal="center" vertical="top" wrapText="1"/>
    </xf>
    <xf numFmtId="0" fontId="8" fillId="6" borderId="4" xfId="0" applyFont="1" applyFill="1" applyBorder="1" applyAlignment="1">
      <alignment horizontal="center" vertical="top" wrapText="1"/>
    </xf>
    <xf numFmtId="0" fontId="0" fillId="5" borderId="0" xfId="0" applyFill="1"/>
    <xf numFmtId="0" fontId="0" fillId="8" borderId="31" xfId="0" applyFill="1" applyBorder="1" applyAlignment="1" applyProtection="1">
      <alignment horizontal="left" vertical="top" wrapText="1" indent="1"/>
      <protection locked="0"/>
    </xf>
    <xf numFmtId="0" fontId="11" fillId="9" borderId="0" xfId="0" applyFont="1" applyFill="1"/>
    <xf numFmtId="0" fontId="11" fillId="9" borderId="5" xfId="0" applyFont="1" applyFill="1" applyBorder="1"/>
    <xf numFmtId="0" fontId="0" fillId="0" borderId="0" xfId="0" applyAlignment="1">
      <alignment vertical="center" wrapText="1"/>
    </xf>
    <xf numFmtId="0" fontId="8" fillId="17" borderId="4" xfId="0" applyFont="1" applyFill="1" applyBorder="1" applyAlignment="1">
      <alignment horizontal="center" vertical="top"/>
    </xf>
    <xf numFmtId="0" fontId="0" fillId="17" borderId="0" xfId="0" applyFill="1"/>
    <xf numFmtId="0" fontId="0" fillId="17" borderId="5" xfId="0" applyFill="1" applyBorder="1"/>
    <xf numFmtId="0" fontId="8" fillId="17" borderId="19" xfId="0" applyFont="1" applyFill="1" applyBorder="1" applyAlignment="1">
      <alignment horizontal="center" vertical="top"/>
    </xf>
    <xf numFmtId="0" fontId="8" fillId="17" borderId="1" xfId="0" applyFont="1" applyFill="1" applyBorder="1" applyAlignment="1">
      <alignment horizontal="center" vertical="top"/>
    </xf>
    <xf numFmtId="0" fontId="0" fillId="0" borderId="5" xfId="0" applyBorder="1"/>
    <xf numFmtId="0" fontId="0" fillId="15" borderId="0" xfId="0" applyFill="1"/>
    <xf numFmtId="0" fontId="0" fillId="15" borderId="5" xfId="0" applyFill="1" applyBorder="1"/>
    <xf numFmtId="0" fontId="8" fillId="15" borderId="4" xfId="0" applyFont="1" applyFill="1" applyBorder="1" applyAlignment="1">
      <alignment horizontal="center" vertical="top"/>
    </xf>
    <xf numFmtId="0" fontId="8" fillId="15" borderId="1" xfId="0" applyFont="1" applyFill="1" applyBorder="1" applyAlignment="1">
      <alignment horizontal="center" vertical="top" wrapText="1"/>
    </xf>
    <xf numFmtId="0" fontId="10" fillId="8" borderId="50" xfId="0" applyFont="1" applyFill="1" applyBorder="1" applyAlignment="1" applyProtection="1">
      <alignment horizontal="center" vertical="center" wrapText="1"/>
      <protection locked="0"/>
    </xf>
    <xf numFmtId="0" fontId="0" fillId="0" borderId="31" xfId="0" applyBorder="1" applyAlignment="1">
      <alignment vertical="top" wrapText="1"/>
    </xf>
    <xf numFmtId="0" fontId="10" fillId="0" borderId="32" xfId="0" applyFont="1" applyBorder="1" applyAlignment="1">
      <alignment horizontal="center" vertical="center"/>
    </xf>
    <xf numFmtId="0" fontId="10" fillId="0" borderId="33" xfId="0" applyFont="1" applyBorder="1" applyAlignment="1">
      <alignment horizontal="center" vertical="center"/>
    </xf>
    <xf numFmtId="0" fontId="8" fillId="15" borderId="4" xfId="0" applyFont="1" applyFill="1" applyBorder="1" applyAlignment="1">
      <alignment horizontal="center" vertical="top" wrapText="1"/>
    </xf>
    <xf numFmtId="0" fontId="43" fillId="14" borderId="2" xfId="0" applyFont="1" applyFill="1" applyBorder="1" applyAlignment="1">
      <alignment horizontal="left" vertical="center" shrinkToFit="1"/>
    </xf>
    <xf numFmtId="0" fontId="8" fillId="6" borderId="1" xfId="0" applyFont="1" applyFill="1" applyBorder="1" applyAlignment="1">
      <alignment horizontal="center" vertical="top"/>
    </xf>
    <xf numFmtId="0" fontId="36" fillId="11" borderId="4" xfId="0" applyFont="1" applyFill="1" applyBorder="1" applyAlignment="1">
      <alignment horizontal="center" vertical="top"/>
    </xf>
    <xf numFmtId="0" fontId="8" fillId="11" borderId="3" xfId="0" applyFont="1" applyFill="1" applyBorder="1"/>
    <xf numFmtId="0" fontId="8" fillId="11" borderId="4" xfId="0" applyFont="1" applyFill="1" applyBorder="1" applyAlignment="1">
      <alignment horizontal="center" vertical="top"/>
    </xf>
    <xf numFmtId="0" fontId="0" fillId="0" borderId="4" xfId="0" applyBorder="1"/>
    <xf numFmtId="0" fontId="10" fillId="0" borderId="17" xfId="0" applyFont="1" applyBorder="1" applyAlignment="1">
      <alignment horizontal="left" vertical="top" wrapText="1" indent="2"/>
    </xf>
    <xf numFmtId="0" fontId="10" fillId="0" borderId="18" xfId="0" applyFont="1" applyBorder="1" applyAlignment="1">
      <alignment horizontal="left" vertical="top" wrapText="1" indent="2"/>
    </xf>
    <xf numFmtId="0" fontId="10" fillId="8" borderId="34" xfId="0" applyFont="1" applyFill="1" applyBorder="1" applyAlignment="1" applyProtection="1">
      <alignment horizontal="center" vertical="center"/>
      <protection locked="0"/>
    </xf>
    <xf numFmtId="0" fontId="0" fillId="11" borderId="0" xfId="0" applyFill="1"/>
    <xf numFmtId="0" fontId="0" fillId="11" borderId="5" xfId="0" applyFill="1" applyBorder="1"/>
    <xf numFmtId="0" fontId="0" fillId="0" borderId="31" xfId="0" applyBorder="1" applyAlignment="1">
      <alignment vertical="center"/>
    </xf>
    <xf numFmtId="2" fontId="0" fillId="8" borderId="31" xfId="0" applyNumberFormat="1" applyFill="1" applyBorder="1" applyAlignment="1" applyProtection="1">
      <alignment horizontal="center"/>
      <protection locked="0"/>
    </xf>
    <xf numFmtId="0" fontId="0" fillId="0" borderId="20" xfId="0" applyBorder="1"/>
    <xf numFmtId="0" fontId="0" fillId="0" borderId="19" xfId="0" applyBorder="1"/>
    <xf numFmtId="0" fontId="0" fillId="0" borderId="33" xfId="0" applyBorder="1" applyAlignment="1">
      <alignment shrinkToFit="1"/>
    </xf>
    <xf numFmtId="0" fontId="0" fillId="0" borderId="0" xfId="0" applyAlignment="1">
      <alignment horizontal="left" vertical="top" wrapText="1"/>
    </xf>
    <xf numFmtId="0" fontId="46" fillId="0" borderId="0" xfId="0" applyFont="1" applyAlignment="1">
      <alignment horizontal="center" vertical="center" wrapText="1"/>
    </xf>
    <xf numFmtId="0" fontId="46" fillId="0" borderId="5" xfId="0" applyFont="1" applyBorder="1" applyAlignment="1">
      <alignment horizontal="center" vertical="center" wrapText="1"/>
    </xf>
    <xf numFmtId="0" fontId="0" fillId="0" borderId="3" xfId="0" applyBorder="1"/>
    <xf numFmtId="0" fontId="0" fillId="0" borderId="31" xfId="0" applyBorder="1"/>
    <xf numFmtId="0" fontId="0" fillId="8" borderId="31" xfId="0" applyFill="1" applyBorder="1" applyAlignment="1" applyProtection="1">
      <alignment horizontal="center" vertical="center"/>
      <protection locked="0"/>
    </xf>
    <xf numFmtId="0" fontId="10" fillId="0" borderId="153" xfId="0" applyFont="1" applyBorder="1" applyAlignment="1">
      <alignment horizontal="center" vertical="center" wrapText="1"/>
    </xf>
    <xf numFmtId="38" fontId="14" fillId="8" borderId="32" xfId="0" applyNumberFormat="1" applyFont="1" applyFill="1" applyBorder="1" applyAlignment="1" applyProtection="1">
      <alignment horizontal="center" vertical="center" wrapText="1"/>
      <protection locked="0"/>
    </xf>
    <xf numFmtId="0" fontId="5" fillId="0" borderId="2" xfId="0" applyFont="1" applyBorder="1" applyAlignment="1">
      <alignment horizontal="right"/>
    </xf>
    <xf numFmtId="0" fontId="5" fillId="0" borderId="2" xfId="0" applyFont="1" applyBorder="1" applyAlignment="1">
      <alignment horizontal="left" wrapText="1" indent="1"/>
    </xf>
    <xf numFmtId="0" fontId="10" fillId="4" borderId="33" xfId="0" applyFont="1" applyFill="1" applyBorder="1" applyAlignment="1">
      <alignment horizontal="center" vertical="center"/>
    </xf>
    <xf numFmtId="0" fontId="10" fillId="4" borderId="33" xfId="0" applyFont="1" applyFill="1" applyBorder="1" applyAlignment="1">
      <alignment horizontal="center" vertical="center" wrapText="1"/>
    </xf>
    <xf numFmtId="0" fontId="94" fillId="0" borderId="0" xfId="0" applyFont="1"/>
    <xf numFmtId="0" fontId="0" fillId="0" borderId="4" xfId="0" applyBorder="1" applyAlignment="1">
      <alignment horizontal="left" indent="1"/>
    </xf>
    <xf numFmtId="0" fontId="0" fillId="0" borderId="0" xfId="0" applyAlignment="1">
      <alignment horizontal="left" indent="1"/>
    </xf>
    <xf numFmtId="0" fontId="0" fillId="4" borderId="17" xfId="0" applyFill="1" applyBorder="1" applyAlignment="1">
      <alignment horizontal="left" indent="1"/>
    </xf>
    <xf numFmtId="0" fontId="48" fillId="0" borderId="31" xfId="0" applyFont="1" applyBorder="1" applyAlignment="1">
      <alignment wrapText="1"/>
    </xf>
    <xf numFmtId="0" fontId="0" fillId="0" borderId="31" xfId="0" applyBorder="1" applyAlignment="1">
      <alignment horizontal="center" wrapText="1"/>
    </xf>
    <xf numFmtId="0" fontId="0" fillId="0" borderId="31" xfId="0" applyBorder="1" applyAlignment="1">
      <alignment horizontal="centerContinuous" vertical="top"/>
    </xf>
    <xf numFmtId="2" fontId="0" fillId="0" borderId="88" xfId="0" applyNumberFormat="1" applyBorder="1" applyAlignment="1">
      <alignment horizontal="center" vertical="center"/>
    </xf>
    <xf numFmtId="0" fontId="77" fillId="0" borderId="91" xfId="0" applyFont="1" applyBorder="1" applyAlignment="1">
      <alignment horizontal="center" wrapText="1"/>
    </xf>
    <xf numFmtId="0" fontId="77" fillId="0" borderId="31" xfId="0" applyFont="1" applyBorder="1" applyAlignment="1">
      <alignment horizontal="center" wrapText="1"/>
    </xf>
    <xf numFmtId="2" fontId="0" fillId="0" borderId="31" xfId="0" applyNumberFormat="1" applyBorder="1" applyAlignment="1">
      <alignment horizontal="center"/>
    </xf>
    <xf numFmtId="0" fontId="0" fillId="8" borderId="31" xfId="0" applyFill="1" applyBorder="1" applyAlignment="1">
      <alignment vertical="top" wrapText="1"/>
    </xf>
    <xf numFmtId="0" fontId="11" fillId="12" borderId="84" xfId="0" applyFont="1" applyFill="1" applyBorder="1" applyAlignment="1">
      <alignment horizontal="center" vertical="center"/>
    </xf>
    <xf numFmtId="0" fontId="0" fillId="0" borderId="18" xfId="0" applyBorder="1" applyAlignment="1">
      <alignment horizontal="right" vertical="center"/>
    </xf>
    <xf numFmtId="2" fontId="0" fillId="0" borderId="31" xfId="0" applyNumberFormat="1" applyBorder="1" applyAlignment="1">
      <alignment horizontal="center" vertical="center"/>
    </xf>
    <xf numFmtId="2" fontId="0" fillId="0" borderId="95" xfId="0" applyNumberFormat="1" applyBorder="1" applyAlignment="1">
      <alignment horizontal="center"/>
    </xf>
    <xf numFmtId="0" fontId="11" fillId="0" borderId="97" xfId="0" applyFont="1" applyBorder="1" applyAlignment="1">
      <alignment horizontal="center" vertical="center"/>
    </xf>
    <xf numFmtId="0" fontId="0" fillId="0" borderId="98" xfId="0" applyBorder="1" applyAlignment="1">
      <alignment horizontal="right" vertical="center" shrinkToFit="1"/>
    </xf>
    <xf numFmtId="2" fontId="0" fillId="0" borderId="89" xfId="0" applyNumberFormat="1" applyBorder="1" applyAlignment="1">
      <alignment horizontal="center" vertical="center"/>
    </xf>
    <xf numFmtId="0" fontId="11" fillId="0" borderId="75" xfId="0" applyFont="1" applyBorder="1" applyAlignment="1">
      <alignment vertical="top"/>
    </xf>
    <xf numFmtId="0" fontId="11" fillId="0" borderId="76" xfId="0" applyFont="1" applyBorder="1" applyAlignment="1">
      <alignment vertical="top"/>
    </xf>
    <xf numFmtId="0" fontId="0" fillId="0" borderId="88" xfId="0" applyBorder="1" applyAlignment="1">
      <alignment horizontal="center" wrapText="1"/>
    </xf>
    <xf numFmtId="0" fontId="79" fillId="0" borderId="31" xfId="0" applyFont="1" applyBorder="1" applyAlignment="1">
      <alignment horizontal="center" wrapText="1"/>
    </xf>
    <xf numFmtId="0" fontId="11" fillId="0" borderId="84" xfId="0" applyFont="1" applyBorder="1" applyAlignment="1">
      <alignment horizontal="center" vertical="center"/>
    </xf>
    <xf numFmtId="0" fontId="0" fillId="0" borderId="87" xfId="0" applyBorder="1" applyAlignment="1">
      <alignment horizontal="center" wrapText="1"/>
    </xf>
    <xf numFmtId="0" fontId="0" fillId="0" borderId="33" xfId="0" applyBorder="1" applyAlignment="1">
      <alignment horizontal="center"/>
    </xf>
    <xf numFmtId="0" fontId="0" fillId="0" borderId="33" xfId="0" applyBorder="1" applyAlignment="1">
      <alignment horizontal="center" wrapText="1"/>
    </xf>
    <xf numFmtId="0" fontId="0" fillId="0" borderId="18" xfId="0" applyBorder="1" applyAlignment="1">
      <alignment horizontal="right" vertical="center" shrinkToFit="1"/>
    </xf>
    <xf numFmtId="0" fontId="48" fillId="0" borderId="31" xfId="0" applyFont="1" applyBorder="1" applyAlignment="1">
      <alignment horizontal="center" wrapText="1"/>
    </xf>
    <xf numFmtId="164" fontId="0" fillId="0" borderId="31" xfId="0" applyNumberFormat="1" applyBorder="1" applyAlignment="1">
      <alignment horizontal="center" vertical="center"/>
    </xf>
    <xf numFmtId="0" fontId="8" fillId="19" borderId="34" xfId="0" applyFont="1" applyFill="1" applyBorder="1" applyAlignment="1">
      <alignment horizontal="center" vertical="center" wrapText="1"/>
    </xf>
    <xf numFmtId="0" fontId="35" fillId="0" borderId="33" xfId="0" applyFont="1" applyBorder="1" applyAlignment="1">
      <alignment horizontal="center" wrapText="1"/>
    </xf>
    <xf numFmtId="0" fontId="56" fillId="19" borderId="31" xfId="2" applyFont="1" applyFill="1" applyBorder="1" applyAlignment="1">
      <alignment horizontal="center" wrapText="1"/>
    </xf>
    <xf numFmtId="0" fontId="35" fillId="0" borderId="31" xfId="0" applyFont="1" applyBorder="1" applyAlignment="1">
      <alignment horizontal="center" vertical="top"/>
    </xf>
    <xf numFmtId="0" fontId="18" fillId="0" borderId="31" xfId="0" applyFont="1" applyBorder="1" applyAlignment="1">
      <alignment horizontal="left" vertical="top" wrapText="1"/>
    </xf>
    <xf numFmtId="0" fontId="18" fillId="0" borderId="31" xfId="0" applyFont="1" applyBorder="1" applyAlignment="1">
      <alignment horizontal="center" vertical="top" wrapText="1"/>
    </xf>
    <xf numFmtId="2" fontId="56" fillId="20" borderId="31" xfId="2" applyNumberFormat="1" applyFont="1" applyFill="1" applyBorder="1" applyAlignment="1">
      <alignment horizontal="center" vertical="center"/>
    </xf>
    <xf numFmtId="0" fontId="48" fillId="20" borderId="31" xfId="0" applyFont="1" applyFill="1" applyBorder="1" applyAlignment="1">
      <alignment horizontal="center" vertical="center"/>
    </xf>
    <xf numFmtId="0" fontId="50" fillId="19" borderId="18" xfId="0" applyFont="1" applyFill="1" applyBorder="1" applyAlignment="1">
      <alignment horizontal="center" vertical="center"/>
    </xf>
    <xf numFmtId="0" fontId="50" fillId="19" borderId="31" xfId="0" applyFont="1" applyFill="1" applyBorder="1" applyAlignment="1">
      <alignment horizontal="center" vertical="center"/>
    </xf>
    <xf numFmtId="1" fontId="56" fillId="19" borderId="31" xfId="2" applyNumberFormat="1" applyFont="1" applyFill="1" applyBorder="1" applyAlignment="1">
      <alignment horizontal="center" vertical="center"/>
    </xf>
    <xf numFmtId="2" fontId="56" fillId="19" borderId="31" xfId="2" applyNumberFormat="1" applyFont="1" applyFill="1" applyBorder="1" applyAlignment="1">
      <alignment horizontal="center" vertical="center"/>
    </xf>
    <xf numFmtId="2" fontId="50" fillId="19" borderId="31" xfId="0" applyNumberFormat="1" applyFont="1" applyFill="1" applyBorder="1" applyAlignment="1">
      <alignment vertical="center"/>
    </xf>
    <xf numFmtId="2" fontId="50" fillId="20" borderId="31" xfId="0" applyNumberFormat="1" applyFont="1" applyFill="1" applyBorder="1" applyAlignment="1">
      <alignment horizontal="center" vertical="center"/>
    </xf>
    <xf numFmtId="10" fontId="8" fillId="20" borderId="31" xfId="0" applyNumberFormat="1" applyFont="1" applyFill="1" applyBorder="1" applyAlignment="1">
      <alignment horizontal="center" vertical="center"/>
    </xf>
    <xf numFmtId="165" fontId="58" fillId="19" borderId="31" xfId="2" applyNumberFormat="1" applyFont="1" applyFill="1" applyBorder="1" applyAlignment="1">
      <alignment horizontal="center" vertical="center"/>
    </xf>
    <xf numFmtId="10" fontId="8" fillId="19" borderId="31" xfId="0" applyNumberFormat="1" applyFont="1" applyFill="1" applyBorder="1" applyAlignment="1">
      <alignment vertical="center"/>
    </xf>
    <xf numFmtId="0" fontId="50" fillId="20" borderId="18" xfId="0" applyFont="1" applyFill="1" applyBorder="1" applyAlignment="1">
      <alignment horizontal="center" vertical="center"/>
    </xf>
    <xf numFmtId="0" fontId="50" fillId="20" borderId="31" xfId="0" applyFont="1" applyFill="1" applyBorder="1" applyAlignment="1">
      <alignment horizontal="center" vertical="center"/>
    </xf>
    <xf numFmtId="1" fontId="56" fillId="20" borderId="31" xfId="2" applyNumberFormat="1" applyFont="1" applyFill="1" applyBorder="1" applyAlignment="1">
      <alignment horizontal="center" vertical="center"/>
    </xf>
    <xf numFmtId="2" fontId="50" fillId="20" borderId="31" xfId="0" applyNumberFormat="1" applyFont="1" applyFill="1" applyBorder="1" applyAlignment="1">
      <alignment vertical="center"/>
    </xf>
    <xf numFmtId="2" fontId="13" fillId="20" borderId="31" xfId="0" applyNumberFormat="1" applyFont="1" applyFill="1" applyBorder="1" applyAlignment="1">
      <alignment horizontal="center" vertical="center"/>
    </xf>
    <xf numFmtId="0" fontId="48" fillId="20" borderId="31" xfId="0" applyFont="1" applyFill="1" applyBorder="1" applyAlignment="1">
      <alignment horizontal="left" vertical="top" wrapText="1"/>
    </xf>
    <xf numFmtId="0" fontId="50" fillId="21" borderId="31" xfId="0" applyFont="1" applyFill="1" applyBorder="1" applyAlignment="1">
      <alignment horizontal="center" vertical="center"/>
    </xf>
    <xf numFmtId="164" fontId="56" fillId="19" borderId="31" xfId="2" applyNumberFormat="1" applyFont="1" applyFill="1" applyBorder="1" applyAlignment="1">
      <alignment horizontal="center" vertical="center"/>
    </xf>
    <xf numFmtId="2" fontId="59" fillId="20" borderId="31" xfId="2" applyNumberFormat="1" applyFont="1" applyFill="1" applyBorder="1" applyAlignment="1">
      <alignment horizontal="center" vertical="center"/>
    </xf>
    <xf numFmtId="164" fontId="56" fillId="20" borderId="16" xfId="2" applyNumberFormat="1" applyFont="1" applyFill="1" applyBorder="1" applyAlignment="1">
      <alignment horizontal="center" vertical="center"/>
    </xf>
    <xf numFmtId="164" fontId="56" fillId="20" borderId="18" xfId="2" applyNumberFormat="1" applyFont="1" applyFill="1" applyBorder="1" applyAlignment="1">
      <alignment horizontal="center" vertical="center"/>
    </xf>
    <xf numFmtId="164" fontId="60" fillId="21" borderId="31" xfId="2" applyNumberFormat="1" applyFont="1" applyFill="1" applyBorder="1" applyAlignment="1">
      <alignment horizontal="center" vertical="center" wrapText="1"/>
    </xf>
    <xf numFmtId="1" fontId="60" fillId="19" borderId="31" xfId="2" applyNumberFormat="1" applyFont="1" applyFill="1" applyBorder="1" applyAlignment="1">
      <alignment horizontal="center" vertical="center"/>
    </xf>
    <xf numFmtId="164" fontId="61" fillId="19" borderId="31" xfId="2" applyNumberFormat="1" applyFont="1" applyFill="1" applyBorder="1" applyAlignment="1">
      <alignment horizontal="center" vertical="center" wrapText="1"/>
    </xf>
    <xf numFmtId="164" fontId="56" fillId="22" borderId="31" xfId="2" applyNumberFormat="1" applyFont="1" applyFill="1" applyBorder="1" applyAlignment="1">
      <alignment horizontal="center" vertical="center"/>
    </xf>
    <xf numFmtId="2" fontId="50" fillId="22" borderId="31" xfId="0" applyNumberFormat="1" applyFont="1" applyFill="1" applyBorder="1" applyAlignment="1">
      <alignment vertical="center"/>
    </xf>
    <xf numFmtId="165" fontId="58" fillId="22" borderId="31" xfId="2" applyNumberFormat="1" applyFont="1" applyFill="1" applyBorder="1" applyAlignment="1">
      <alignment horizontal="center" vertical="center"/>
    </xf>
    <xf numFmtId="0" fontId="35" fillId="0" borderId="32" xfId="0" applyFont="1" applyBorder="1" applyAlignment="1">
      <alignment horizontal="center" vertical="top"/>
    </xf>
    <xf numFmtId="0" fontId="18" fillId="0" borderId="32" xfId="0" applyFont="1" applyBorder="1" applyAlignment="1">
      <alignment horizontal="left" vertical="top" wrapText="1"/>
    </xf>
    <xf numFmtId="0" fontId="48" fillId="0" borderId="32" xfId="0" applyFont="1" applyBorder="1" applyAlignment="1">
      <alignment horizontal="center" vertical="top" wrapText="1"/>
    </xf>
    <xf numFmtId="3" fontId="56" fillId="20" borderId="32" xfId="2" applyNumberFormat="1" applyFont="1" applyFill="1" applyBorder="1" applyAlignment="1">
      <alignment horizontal="center" vertical="center"/>
    </xf>
    <xf numFmtId="3" fontId="59" fillId="20" borderId="32" xfId="2" applyNumberFormat="1" applyFont="1" applyFill="1" applyBorder="1" applyAlignment="1">
      <alignment horizontal="center" vertical="center"/>
    </xf>
    <xf numFmtId="0" fontId="48" fillId="20" borderId="32" xfId="0" applyFont="1" applyFill="1" applyBorder="1" applyAlignment="1">
      <alignment horizontal="center" vertical="center"/>
    </xf>
    <xf numFmtId="0" fontId="50" fillId="19" borderId="3" xfId="0" applyFont="1" applyFill="1" applyBorder="1" applyAlignment="1">
      <alignment horizontal="center" vertical="center"/>
    </xf>
    <xf numFmtId="0" fontId="50" fillId="19" borderId="32" xfId="0" applyFont="1" applyFill="1" applyBorder="1" applyAlignment="1">
      <alignment horizontal="center" vertical="center"/>
    </xf>
    <xf numFmtId="1" fontId="56" fillId="19" borderId="32" xfId="2" applyNumberFormat="1" applyFont="1" applyFill="1" applyBorder="1" applyAlignment="1">
      <alignment horizontal="center" vertical="center"/>
    </xf>
    <xf numFmtId="164" fontId="56" fillId="19" borderId="32" xfId="2" applyNumberFormat="1" applyFont="1" applyFill="1" applyBorder="1" applyAlignment="1">
      <alignment horizontal="center" vertical="center"/>
    </xf>
    <xf numFmtId="2" fontId="56" fillId="19" borderId="32" xfId="2" applyNumberFormat="1" applyFont="1" applyFill="1" applyBorder="1" applyAlignment="1">
      <alignment horizontal="center" vertical="center"/>
    </xf>
    <xf numFmtId="2" fontId="50" fillId="19" borderId="32" xfId="0" applyNumberFormat="1" applyFont="1" applyFill="1" applyBorder="1" applyAlignment="1">
      <alignment vertical="center"/>
    </xf>
    <xf numFmtId="2" fontId="50" fillId="20" borderId="32" xfId="0" applyNumberFormat="1" applyFont="1" applyFill="1" applyBorder="1" applyAlignment="1">
      <alignment horizontal="center" vertical="center"/>
    </xf>
    <xf numFmtId="10" fontId="8" fillId="20" borderId="32" xfId="0" applyNumberFormat="1" applyFont="1" applyFill="1" applyBorder="1" applyAlignment="1">
      <alignment horizontal="center" vertical="center"/>
    </xf>
    <xf numFmtId="165" fontId="58" fillId="19" borderId="32" xfId="2" applyNumberFormat="1" applyFont="1" applyFill="1" applyBorder="1" applyAlignment="1">
      <alignment horizontal="center" vertical="center"/>
    </xf>
    <xf numFmtId="10" fontId="8" fillId="19" borderId="32" xfId="0" applyNumberFormat="1" applyFont="1" applyFill="1" applyBorder="1" applyAlignment="1">
      <alignment vertical="center"/>
    </xf>
    <xf numFmtId="2" fontId="62" fillId="20" borderId="17" xfId="0" applyNumberFormat="1" applyFont="1" applyFill="1" applyBorder="1" applyAlignment="1">
      <alignment vertical="center"/>
    </xf>
    <xf numFmtId="0" fontId="0" fillId="0" borderId="4" xfId="0" applyBorder="1" applyAlignment="1">
      <alignment vertical="center"/>
    </xf>
    <xf numFmtId="0" fontId="63" fillId="0" borderId="0" xfId="0" applyFont="1" applyAlignment="1">
      <alignment horizontal="center" vertical="center" wrapText="1"/>
    </xf>
    <xf numFmtId="0" fontId="48" fillId="0" borderId="0" xfId="0" applyFont="1" applyAlignment="1">
      <alignment horizontal="center" vertical="center"/>
    </xf>
    <xf numFmtId="0" fontId="48" fillId="0" borderId="5" xfId="0" applyFont="1" applyBorder="1" applyAlignment="1">
      <alignment horizontal="center" vertical="center"/>
    </xf>
    <xf numFmtId="0" fontId="64" fillId="9" borderId="4" xfId="0" applyFont="1" applyFill="1" applyBorder="1" applyAlignment="1">
      <alignment vertical="center"/>
    </xf>
    <xf numFmtId="3" fontId="64" fillId="9" borderId="0" xfId="0" applyNumberFormat="1" applyFont="1" applyFill="1" applyAlignment="1">
      <alignment horizontal="center" vertical="center"/>
    </xf>
    <xf numFmtId="0" fontId="64" fillId="9" borderId="0" xfId="0" applyFont="1" applyFill="1" applyAlignment="1">
      <alignment horizontal="center" vertical="center"/>
    </xf>
    <xf numFmtId="0" fontId="64" fillId="9" borderId="19" xfId="0" applyFont="1" applyFill="1" applyBorder="1" applyAlignment="1">
      <alignment vertical="center"/>
    </xf>
    <xf numFmtId="3" fontId="64" fillId="9" borderId="20" xfId="0" applyNumberFormat="1" applyFont="1" applyFill="1" applyBorder="1" applyAlignment="1">
      <alignment horizontal="center" vertical="center"/>
    </xf>
    <xf numFmtId="0" fontId="64" fillId="9" borderId="20" xfId="0" applyFont="1" applyFill="1" applyBorder="1" applyAlignment="1">
      <alignment vertical="center"/>
    </xf>
    <xf numFmtId="0" fontId="44" fillId="0" borderId="0" xfId="0" applyFont="1" applyAlignment="1">
      <alignment vertical="center"/>
    </xf>
    <xf numFmtId="0" fontId="0" fillId="0" borderId="67" xfId="0" applyBorder="1" applyAlignment="1">
      <alignment horizontal="center" vertical="top"/>
    </xf>
    <xf numFmtId="0" fontId="0" fillId="0" borderId="11" xfId="0" applyBorder="1" applyAlignment="1">
      <alignment horizontal="center" vertical="top"/>
    </xf>
    <xf numFmtId="49" fontId="0" fillId="0" borderId="12" xfId="0" applyNumberFormat="1" applyBorder="1" applyAlignment="1">
      <alignment horizontal="center" vertical="top"/>
    </xf>
    <xf numFmtId="0" fontId="8" fillId="2" borderId="115" xfId="0" applyFont="1" applyFill="1" applyBorder="1" applyAlignment="1">
      <alignment horizontal="center" wrapText="1"/>
    </xf>
    <xf numFmtId="0" fontId="0" fillId="8" borderId="31" xfId="0" applyFill="1" applyBorder="1" applyAlignment="1">
      <alignment horizontal="center" vertical="center" shrinkToFit="1"/>
    </xf>
    <xf numFmtId="0" fontId="0" fillId="7" borderId="31" xfId="0" applyFill="1" applyBorder="1" applyAlignment="1">
      <alignment horizontal="left" vertical="top"/>
    </xf>
    <xf numFmtId="0" fontId="22" fillId="0" borderId="0" xfId="0" applyFont="1"/>
    <xf numFmtId="0" fontId="11" fillId="9" borderId="3" xfId="0" applyFont="1" applyFill="1" applyBorder="1" applyAlignment="1">
      <alignment horizontal="right"/>
    </xf>
    <xf numFmtId="0" fontId="49" fillId="20" borderId="31" xfId="0" applyFont="1" applyFill="1" applyBorder="1" applyAlignment="1">
      <alignment horizontal="center" vertical="center" wrapText="1"/>
    </xf>
    <xf numFmtId="0" fontId="29" fillId="0" borderId="0" xfId="0" applyFont="1" applyAlignment="1">
      <alignment vertical="center"/>
    </xf>
    <xf numFmtId="0" fontId="10" fillId="12" borderId="31" xfId="0" applyFont="1" applyFill="1" applyBorder="1" applyAlignment="1">
      <alignment horizontal="center" vertical="top"/>
    </xf>
    <xf numFmtId="0" fontId="0" fillId="29" borderId="31" xfId="0" applyFill="1" applyBorder="1" applyAlignment="1">
      <alignment vertical="top" wrapText="1"/>
    </xf>
    <xf numFmtId="0" fontId="10" fillId="12" borderId="31" xfId="0" applyFont="1" applyFill="1" applyBorder="1" applyAlignment="1">
      <alignment horizontal="center" vertical="top" wrapText="1"/>
    </xf>
    <xf numFmtId="0" fontId="39" fillId="8" borderId="31" xfId="0" applyFont="1" applyFill="1" applyBorder="1" applyAlignment="1">
      <alignment vertical="top" wrapText="1"/>
    </xf>
    <xf numFmtId="0" fontId="10" fillId="0" borderId="31" xfId="0" applyFont="1" applyBorder="1" applyAlignment="1">
      <alignment horizontal="center" vertical="top"/>
    </xf>
    <xf numFmtId="49" fontId="10" fillId="12" borderId="33" xfId="0" applyNumberFormat="1" applyFont="1" applyFill="1" applyBorder="1" applyAlignment="1">
      <alignment horizontal="center" vertical="top"/>
    </xf>
    <xf numFmtId="0" fontId="0" fillId="8" borderId="33" xfId="0" applyFill="1" applyBorder="1" applyAlignment="1">
      <alignment horizontal="left" vertical="top" wrapText="1"/>
    </xf>
    <xf numFmtId="0" fontId="0" fillId="8" borderId="32" xfId="0" applyFill="1" applyBorder="1" applyAlignment="1">
      <alignment vertical="top" wrapText="1"/>
    </xf>
    <xf numFmtId="0" fontId="9" fillId="0" borderId="32" xfId="0" applyFont="1" applyBorder="1" applyAlignment="1">
      <alignment horizontal="left" vertical="top" wrapText="1"/>
    </xf>
    <xf numFmtId="0" fontId="9" fillId="8" borderId="31" xfId="0" applyFont="1" applyFill="1" applyBorder="1" applyAlignment="1">
      <alignment horizontal="left" vertical="top" wrapText="1"/>
    </xf>
    <xf numFmtId="49" fontId="10" fillId="12" borderId="34" xfId="0" applyNumberFormat="1" applyFont="1" applyFill="1" applyBorder="1" applyAlignment="1">
      <alignment horizontal="center" vertical="top"/>
    </xf>
    <xf numFmtId="0" fontId="2" fillId="0" borderId="31" xfId="0" applyFont="1" applyBorder="1" applyAlignment="1">
      <alignment horizontal="center" vertical="top" wrapText="1"/>
    </xf>
    <xf numFmtId="2" fontId="10" fillId="0" borderId="31" xfId="0" applyNumberFormat="1" applyFont="1" applyBorder="1" applyAlignment="1">
      <alignment horizontal="center" vertical="center" wrapText="1"/>
    </xf>
    <xf numFmtId="0" fontId="0" fillId="8" borderId="1" xfId="0" applyFill="1" applyBorder="1" applyAlignment="1" applyProtection="1">
      <alignment horizontal="left" vertical="top" wrapText="1" indent="1"/>
      <protection locked="0"/>
    </xf>
    <xf numFmtId="0" fontId="0" fillId="8" borderId="2" xfId="0" applyFill="1" applyBorder="1" applyAlignment="1" applyProtection="1">
      <alignment horizontal="left" vertical="top" wrapText="1" indent="1"/>
      <protection locked="0"/>
    </xf>
    <xf numFmtId="0" fontId="0" fillId="8" borderId="3" xfId="0" applyFill="1" applyBorder="1" applyAlignment="1" applyProtection="1">
      <alignment horizontal="left" vertical="top" wrapText="1" indent="1"/>
      <protection locked="0"/>
    </xf>
    <xf numFmtId="0" fontId="17" fillId="0" borderId="2" xfId="0" applyFont="1" applyBorder="1" applyAlignment="1">
      <alignment horizontal="center" vertical="center" wrapText="1"/>
    </xf>
    <xf numFmtId="0" fontId="0" fillId="0" borderId="3" xfId="0" applyBorder="1" applyAlignment="1">
      <alignment horizontal="center" vertical="center" wrapText="1"/>
    </xf>
    <xf numFmtId="0" fontId="10" fillId="0" borderId="31" xfId="0" applyFont="1" applyBorder="1" applyAlignment="1">
      <alignment horizontal="left" vertical="center" indent="1"/>
    </xf>
    <xf numFmtId="0" fontId="0" fillId="0" borderId="31" xfId="0" applyBorder="1" applyAlignment="1">
      <alignment horizontal="center" vertical="center" wrapText="1"/>
    </xf>
    <xf numFmtId="0" fontId="29" fillId="4" borderId="16" xfId="0" applyFont="1" applyFill="1" applyBorder="1" applyAlignment="1">
      <alignment horizontal="center"/>
    </xf>
    <xf numFmtId="0" fontId="29" fillId="4" borderId="17" xfId="0" applyFont="1" applyFill="1" applyBorder="1" applyAlignment="1">
      <alignment horizontal="center"/>
    </xf>
    <xf numFmtId="0" fontId="29" fillId="4" borderId="18" xfId="0" applyFont="1" applyFill="1" applyBorder="1" applyAlignment="1">
      <alignment horizontal="center"/>
    </xf>
    <xf numFmtId="0" fontId="0" fillId="0" borderId="144" xfId="0" applyBorder="1" applyAlignment="1">
      <alignment horizontal="left" vertical="center" wrapText="1" indent="1"/>
    </xf>
    <xf numFmtId="0" fontId="0" fillId="0" borderId="143" xfId="0" applyBorder="1" applyAlignment="1">
      <alignment horizontal="left" vertical="center" wrapText="1" indent="1"/>
    </xf>
    <xf numFmtId="0" fontId="0" fillId="0" borderId="145" xfId="0" applyBorder="1" applyAlignment="1">
      <alignment horizontal="left" vertical="center" wrapText="1" indent="1"/>
    </xf>
    <xf numFmtId="0" fontId="0" fillId="0" borderId="109" xfId="0" applyBorder="1" applyAlignment="1">
      <alignment horizontal="left" vertical="center" wrapText="1" indent="1"/>
    </xf>
    <xf numFmtId="0" fontId="0" fillId="0" borderId="107" xfId="0" applyBorder="1" applyAlignment="1">
      <alignment horizontal="left" vertical="center" wrapText="1" indent="1"/>
    </xf>
    <xf numFmtId="0" fontId="0" fillId="0" borderId="108" xfId="0" applyBorder="1" applyAlignment="1">
      <alignment horizontal="left" vertical="center" wrapText="1" indent="1"/>
    </xf>
    <xf numFmtId="0" fontId="0" fillId="0" borderId="6" xfId="0" applyBorder="1" applyAlignment="1">
      <alignment horizontal="left" vertical="center" wrapText="1" indent="1"/>
    </xf>
    <xf numFmtId="0" fontId="0" fillId="0" borderId="7" xfId="0" applyBorder="1" applyAlignment="1">
      <alignment horizontal="left" vertical="center" wrapText="1" indent="1"/>
    </xf>
    <xf numFmtId="0" fontId="0" fillId="0" borderId="8" xfId="0" applyBorder="1" applyAlignment="1">
      <alignment horizontal="left" vertical="center" wrapText="1" indent="1"/>
    </xf>
    <xf numFmtId="0" fontId="29" fillId="4" borderId="19" xfId="0" applyFont="1" applyFill="1" applyBorder="1" applyAlignment="1">
      <alignment horizontal="center"/>
    </xf>
    <xf numFmtId="0" fontId="29" fillId="4" borderId="20" xfId="0" applyFont="1" applyFill="1" applyBorder="1" applyAlignment="1">
      <alignment horizontal="center"/>
    </xf>
    <xf numFmtId="0" fontId="29" fillId="4" borderId="21" xfId="0" applyFont="1" applyFill="1" applyBorder="1" applyAlignment="1">
      <alignment horizontal="center"/>
    </xf>
    <xf numFmtId="0" fontId="10" fillId="4" borderId="33" xfId="0" applyFont="1" applyFill="1" applyBorder="1" applyAlignment="1">
      <alignment horizontal="center" vertical="center" wrapText="1"/>
    </xf>
    <xf numFmtId="0" fontId="10" fillId="4" borderId="33" xfId="0" applyFont="1" applyFill="1" applyBorder="1" applyAlignment="1">
      <alignment horizontal="center" vertical="center"/>
    </xf>
    <xf numFmtId="0" fontId="0" fillId="0" borderId="0" xfId="0" applyAlignment="1">
      <alignment horizontal="left" wrapText="1"/>
    </xf>
    <xf numFmtId="0" fontId="5" fillId="0" borderId="31" xfId="0" applyFont="1" applyBorder="1" applyAlignment="1">
      <alignment horizontal="left" vertical="top" wrapText="1" indent="1"/>
    </xf>
    <xf numFmtId="0" fontId="4" fillId="0" borderId="31" xfId="0" applyFont="1" applyBorder="1" applyAlignment="1">
      <alignment horizontal="left" vertical="top" wrapText="1" indent="1"/>
    </xf>
    <xf numFmtId="0" fontId="0" fillId="0" borderId="0" xfId="0" applyAlignment="1">
      <alignment horizontal="center"/>
    </xf>
    <xf numFmtId="0" fontId="2" fillId="0" borderId="31" xfId="0" applyFont="1" applyBorder="1" applyAlignment="1">
      <alignment horizontal="left" vertical="top" wrapText="1" indent="1"/>
    </xf>
    <xf numFmtId="0" fontId="0" fillId="0" borderId="31" xfId="0" applyBorder="1"/>
    <xf numFmtId="0" fontId="11" fillId="0" borderId="0" xfId="0" applyFont="1" applyAlignment="1">
      <alignment horizontal="center"/>
    </xf>
    <xf numFmtId="0" fontId="17" fillId="0" borderId="16" xfId="0" applyFont="1" applyBorder="1" applyAlignment="1">
      <alignment horizontal="center" vertical="center" wrapText="1"/>
    </xf>
    <xf numFmtId="0" fontId="0" fillId="0" borderId="17" xfId="0" applyBorder="1" applyAlignment="1">
      <alignment horizontal="center" vertical="center"/>
    </xf>
    <xf numFmtId="0" fontId="0" fillId="0" borderId="18" xfId="0" applyBorder="1" applyAlignment="1">
      <alignment horizontal="center" vertical="center"/>
    </xf>
    <xf numFmtId="0" fontId="5" fillId="0" borderId="16" xfId="0" applyFont="1" applyBorder="1" applyAlignment="1">
      <alignment horizontal="right"/>
    </xf>
    <xf numFmtId="0" fontId="0" fillId="0" borderId="17" xfId="0" applyBorder="1"/>
    <xf numFmtId="0" fontId="0" fillId="0" borderId="16" xfId="0" applyBorder="1"/>
    <xf numFmtId="0" fontId="0" fillId="0" borderId="18" xfId="0" applyBorder="1"/>
    <xf numFmtId="0" fontId="29" fillId="4" borderId="31" xfId="0" applyFont="1" applyFill="1" applyBorder="1" applyAlignment="1">
      <alignment horizontal="left" vertical="center" wrapText="1" indent="1"/>
    </xf>
    <xf numFmtId="0" fontId="5" fillId="0" borderId="31" xfId="0" applyFont="1" applyBorder="1" applyAlignment="1">
      <alignment horizontal="center" vertical="top" wrapText="1"/>
    </xf>
    <xf numFmtId="0" fontId="82" fillId="0" borderId="31" xfId="0" applyFont="1" applyBorder="1" applyAlignment="1">
      <alignment horizontal="left" vertical="top" wrapText="1" indent="1"/>
    </xf>
    <xf numFmtId="0" fontId="2" fillId="0" borderId="31" xfId="0" applyFont="1" applyBorder="1" applyAlignment="1">
      <alignment horizontal="left" vertical="center" wrapText="1" indent="1"/>
    </xf>
    <xf numFmtId="0" fontId="5" fillId="0" borderId="31" xfId="0" applyFont="1" applyBorder="1" applyAlignment="1">
      <alignment horizontal="left" vertical="center" wrapText="1" indent="1"/>
    </xf>
    <xf numFmtId="0" fontId="29" fillId="4" borderId="31" xfId="0" applyFont="1" applyFill="1" applyBorder="1" applyAlignment="1">
      <alignment horizontal="center" vertical="center" wrapText="1"/>
    </xf>
    <xf numFmtId="0" fontId="10" fillId="0" borderId="16" xfId="0" applyFont="1" applyBorder="1" applyAlignment="1">
      <alignment horizontal="left" vertical="top" wrapText="1" indent="1"/>
    </xf>
    <xf numFmtId="0" fontId="0" fillId="0" borderId="17" xfId="0" applyBorder="1" applyAlignment="1">
      <alignment horizontal="left" vertical="top" wrapText="1" indent="1"/>
    </xf>
    <xf numFmtId="0" fontId="0" fillId="0" borderId="18" xfId="0" applyBorder="1" applyAlignment="1">
      <alignment horizontal="left" vertical="top" wrapText="1" indent="1"/>
    </xf>
    <xf numFmtId="0" fontId="10" fillId="29" borderId="31" xfId="0" applyFont="1" applyFill="1" applyBorder="1" applyAlignment="1">
      <alignment horizontal="center" vertical="center" shrinkToFit="1"/>
    </xf>
    <xf numFmtId="0" fontId="10" fillId="29" borderId="16" xfId="0" applyFont="1" applyFill="1" applyBorder="1" applyAlignment="1">
      <alignment horizontal="center" vertical="center" shrinkToFit="1"/>
    </xf>
    <xf numFmtId="0" fontId="10" fillId="29" borderId="17" xfId="0" applyFont="1" applyFill="1" applyBorder="1" applyAlignment="1">
      <alignment horizontal="center" vertical="center" shrinkToFit="1"/>
    </xf>
    <xf numFmtId="0" fontId="10" fillId="29" borderId="18" xfId="0" applyFont="1" applyFill="1" applyBorder="1" applyAlignment="1">
      <alignment horizontal="center" vertical="center" shrinkToFit="1"/>
    </xf>
    <xf numFmtId="0" fontId="0" fillId="0" borderId="16" xfId="0" applyBorder="1" applyAlignment="1">
      <alignment horizontal="left" vertical="top" indent="3"/>
    </xf>
    <xf numFmtId="0" fontId="0" fillId="0" borderId="17" xfId="0" applyBorder="1" applyAlignment="1">
      <alignment horizontal="left" vertical="top" indent="3"/>
    </xf>
    <xf numFmtId="0" fontId="0" fillId="0" borderId="18" xfId="0" applyBorder="1" applyAlignment="1">
      <alignment horizontal="left" vertical="top" indent="3"/>
    </xf>
    <xf numFmtId="0" fontId="0" fillId="0" borderId="31" xfId="0" applyBorder="1" applyAlignment="1">
      <alignment horizontal="left" vertical="top" indent="3"/>
    </xf>
    <xf numFmtId="0" fontId="0" fillId="8" borderId="16" xfId="0" applyFill="1" applyBorder="1" applyAlignment="1" applyProtection="1">
      <alignment horizontal="left" vertical="center" indent="1" shrinkToFit="1"/>
      <protection locked="0"/>
    </xf>
    <xf numFmtId="0" fontId="0" fillId="0" borderId="17" xfId="0" applyBorder="1" applyAlignment="1" applyProtection="1">
      <alignment horizontal="left" vertical="center" indent="1" shrinkToFit="1"/>
      <protection locked="0"/>
    </xf>
    <xf numFmtId="0" fontId="0" fillId="0" borderId="18" xfId="0" applyBorder="1" applyAlignment="1" applyProtection="1">
      <alignment horizontal="left" vertical="center" indent="1" shrinkToFit="1"/>
      <protection locked="0"/>
    </xf>
    <xf numFmtId="171" fontId="0" fillId="8" borderId="16" xfId="0" applyNumberFormat="1" applyFill="1" applyBorder="1" applyAlignment="1" applyProtection="1">
      <alignment horizontal="left" vertical="center" indent="1" shrinkToFit="1"/>
      <protection locked="0"/>
    </xf>
    <xf numFmtId="171" fontId="0" fillId="0" borderId="17" xfId="0" applyNumberFormat="1" applyBorder="1" applyAlignment="1" applyProtection="1">
      <alignment horizontal="left" vertical="center" indent="1" shrinkToFit="1"/>
      <protection locked="0"/>
    </xf>
    <xf numFmtId="171" fontId="0" fillId="0" borderId="18" xfId="0" applyNumberFormat="1" applyBorder="1" applyAlignment="1" applyProtection="1">
      <alignment horizontal="left" vertical="center" indent="1" shrinkToFit="1"/>
      <protection locked="0"/>
    </xf>
    <xf numFmtId="0" fontId="0" fillId="8" borderId="31" xfId="0" applyFill="1" applyBorder="1" applyAlignment="1" applyProtection="1">
      <alignment horizontal="left" indent="1"/>
      <protection locked="0"/>
    </xf>
    <xf numFmtId="0" fontId="20" fillId="0" borderId="1" xfId="0" applyFont="1" applyBorder="1" applyAlignment="1">
      <alignment horizontal="left" vertical="center" indent="1" shrinkToFit="1"/>
    </xf>
    <xf numFmtId="0" fontId="20" fillId="0" borderId="2" xfId="0" applyFont="1" applyBorder="1" applyAlignment="1">
      <alignment horizontal="left" vertical="center" indent="1" shrinkToFit="1"/>
    </xf>
    <xf numFmtId="0" fontId="20" fillId="0" borderId="3" xfId="0" applyFont="1" applyBorder="1" applyAlignment="1">
      <alignment horizontal="left" vertical="center" indent="1" shrinkToFit="1"/>
    </xf>
    <xf numFmtId="1" fontId="0" fillId="8" borderId="1" xfId="0" applyNumberFormat="1" applyFill="1" applyBorder="1" applyAlignment="1" applyProtection="1">
      <alignment horizontal="left" vertical="center" indent="1" shrinkToFit="1"/>
      <protection locked="0"/>
    </xf>
    <xf numFmtId="0" fontId="0" fillId="0" borderId="2" xfId="0" applyBorder="1" applyAlignment="1" applyProtection="1">
      <alignment horizontal="left" vertical="center" indent="1" shrinkToFit="1"/>
      <protection locked="0"/>
    </xf>
    <xf numFmtId="0" fontId="0" fillId="0" borderId="3" xfId="0" applyBorder="1" applyAlignment="1" applyProtection="1">
      <alignment horizontal="left" vertical="center" indent="1" shrinkToFit="1"/>
      <protection locked="0"/>
    </xf>
    <xf numFmtId="0" fontId="85" fillId="4" borderId="19" xfId="0" applyFont="1" applyFill="1" applyBorder="1" applyAlignment="1">
      <alignment horizontal="center" vertical="center" wrapText="1"/>
    </xf>
    <xf numFmtId="0" fontId="85" fillId="4" borderId="20" xfId="0" applyFont="1" applyFill="1" applyBorder="1" applyAlignment="1">
      <alignment horizontal="center" vertical="center" wrapText="1"/>
    </xf>
    <xf numFmtId="0" fontId="85" fillId="4" borderId="21" xfId="0" applyFont="1" applyFill="1" applyBorder="1" applyAlignment="1">
      <alignment horizontal="center" vertical="center" wrapText="1"/>
    </xf>
    <xf numFmtId="0" fontId="0" fillId="0" borderId="31" xfId="0" applyBorder="1" applyAlignment="1">
      <alignment horizontal="left" vertical="top" wrapText="1" inden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wrapText="1"/>
    </xf>
    <xf numFmtId="0" fontId="0" fillId="0" borderId="0" xfId="0" applyAlignment="1">
      <alignment horizontal="center" wrapText="1"/>
    </xf>
    <xf numFmtId="0" fontId="0" fillId="0" borderId="5" xfId="0" applyBorder="1" applyAlignment="1">
      <alignment horizontal="center" wrapText="1"/>
    </xf>
    <xf numFmtId="0" fontId="0" fillId="0" borderId="19" xfId="0" applyBorder="1" applyAlignment="1">
      <alignment horizontal="center" wrapText="1"/>
    </xf>
    <xf numFmtId="0" fontId="0" fillId="0" borderId="20" xfId="0" applyBorder="1" applyAlignment="1">
      <alignment horizontal="center" wrapText="1"/>
    </xf>
    <xf numFmtId="0" fontId="0" fillId="0" borderId="21" xfId="0" applyBorder="1" applyAlignment="1">
      <alignment horizontal="center" wrapText="1"/>
    </xf>
    <xf numFmtId="0" fontId="14" fillId="4" borderId="16" xfId="0" applyFont="1" applyFill="1" applyBorder="1" applyAlignment="1">
      <alignment horizontal="left" vertical="center" wrapText="1" indent="1"/>
    </xf>
    <xf numFmtId="0" fontId="15" fillId="4" borderId="17" xfId="0" applyFont="1" applyFill="1" applyBorder="1" applyAlignment="1">
      <alignment horizontal="left" vertical="center" wrapText="1" indent="1"/>
    </xf>
    <xf numFmtId="0" fontId="15" fillId="4" borderId="18" xfId="0" applyFont="1" applyFill="1" applyBorder="1" applyAlignment="1">
      <alignment horizontal="left" vertical="center" wrapText="1" indent="1"/>
    </xf>
    <xf numFmtId="0" fontId="0" fillId="8" borderId="23" xfId="0" applyFill="1" applyBorder="1" applyAlignment="1" applyProtection="1">
      <alignment horizontal="left" vertical="center" indent="1" shrinkToFit="1" readingOrder="1"/>
      <protection locked="0"/>
    </xf>
    <xf numFmtId="0" fontId="0" fillId="8" borderId="24" xfId="0" applyFill="1" applyBorder="1" applyAlignment="1" applyProtection="1">
      <alignment horizontal="left" vertical="center" indent="1" shrinkToFit="1" readingOrder="1"/>
      <protection locked="0"/>
    </xf>
    <xf numFmtId="0" fontId="0" fillId="8" borderId="26" xfId="0" applyFill="1" applyBorder="1" applyAlignment="1" applyProtection="1">
      <alignment horizontal="left" vertical="center" indent="1" shrinkToFit="1" readingOrder="1"/>
      <protection locked="0"/>
    </xf>
    <xf numFmtId="0" fontId="0" fillId="8" borderId="27" xfId="0" applyFill="1" applyBorder="1" applyAlignment="1" applyProtection="1">
      <alignment horizontal="left" vertical="center" indent="1" shrinkToFit="1" readingOrder="1"/>
      <protection locked="0"/>
    </xf>
    <xf numFmtId="0" fontId="10" fillId="0" borderId="16" xfId="0" applyFont="1" applyBorder="1" applyAlignment="1">
      <alignment horizontal="left" vertical="center" indent="1" shrinkToFit="1"/>
    </xf>
    <xf numFmtId="0" fontId="10" fillId="0" borderId="17" xfId="0" applyFont="1" applyBorder="1" applyAlignment="1">
      <alignment horizontal="left" vertical="center" indent="1" shrinkToFit="1"/>
    </xf>
    <xf numFmtId="0" fontId="10" fillId="0" borderId="18" xfId="0" applyFont="1" applyBorder="1" applyAlignment="1">
      <alignment horizontal="left" vertical="center" indent="1" shrinkToFit="1"/>
    </xf>
    <xf numFmtId="0" fontId="0" fillId="0" borderId="1" xfId="0" applyBorder="1" applyAlignment="1">
      <alignment horizontal="left" vertical="top" wrapText="1" indent="1" shrinkToFit="1" readingOrder="1"/>
    </xf>
    <xf numFmtId="0" fontId="0" fillId="0" borderId="2" xfId="0" applyBorder="1" applyAlignment="1">
      <alignment horizontal="left" vertical="top" wrapText="1" indent="1" readingOrder="1"/>
    </xf>
    <xf numFmtId="0" fontId="0" fillId="0" borderId="3" xfId="0" applyBorder="1" applyAlignment="1">
      <alignment horizontal="left" vertical="top" wrapText="1" indent="1" readingOrder="1"/>
    </xf>
    <xf numFmtId="0" fontId="0" fillId="0" borderId="4" xfId="0" applyBorder="1" applyAlignment="1">
      <alignment horizontal="left" vertical="top" wrapText="1" indent="1" readingOrder="1"/>
    </xf>
    <xf numFmtId="0" fontId="0" fillId="0" borderId="0" xfId="0" applyAlignment="1">
      <alignment horizontal="left" vertical="top" wrapText="1" indent="1" readingOrder="1"/>
    </xf>
    <xf numFmtId="0" fontId="0" fillId="0" borderId="5" xfId="0" applyBorder="1" applyAlignment="1">
      <alignment horizontal="left" vertical="top" wrapText="1" indent="1" readingOrder="1"/>
    </xf>
    <xf numFmtId="0" fontId="0" fillId="0" borderId="19" xfId="0" applyBorder="1" applyAlignment="1">
      <alignment horizontal="left" vertical="top" wrapText="1" indent="1" readingOrder="1"/>
    </xf>
    <xf numFmtId="0" fontId="0" fillId="0" borderId="20" xfId="0" applyBorder="1" applyAlignment="1">
      <alignment horizontal="left" vertical="top" wrapText="1" indent="1" readingOrder="1"/>
    </xf>
    <xf numFmtId="0" fontId="0" fillId="0" borderId="21" xfId="0" applyBorder="1" applyAlignment="1">
      <alignment horizontal="left" vertical="top" wrapText="1" indent="1" readingOrder="1"/>
    </xf>
    <xf numFmtId="0" fontId="0" fillId="8" borderId="29" xfId="0" applyFill="1" applyBorder="1" applyAlignment="1" applyProtection="1">
      <alignment horizontal="left" vertical="center" indent="1" shrinkToFit="1" readingOrder="1"/>
      <protection locked="0"/>
    </xf>
    <xf numFmtId="0" fontId="0" fillId="8" borderId="30" xfId="0" applyFill="1" applyBorder="1" applyAlignment="1" applyProtection="1">
      <alignment horizontal="left" vertical="center" indent="1" shrinkToFit="1" readingOrder="1"/>
      <protection locked="0"/>
    </xf>
    <xf numFmtId="49" fontId="0" fillId="8" borderId="17" xfId="0" applyNumberFormat="1" applyFill="1" applyBorder="1" applyAlignment="1" applyProtection="1">
      <alignment horizontal="left" vertical="center" indent="1" shrinkToFit="1" readingOrder="1"/>
      <protection locked="0"/>
    </xf>
    <xf numFmtId="0" fontId="0" fillId="0" borderId="17" xfId="0" applyBorder="1" applyAlignment="1" applyProtection="1">
      <alignment horizontal="left" vertical="center" indent="1" shrinkToFit="1" readingOrder="1"/>
      <protection locked="0"/>
    </xf>
    <xf numFmtId="3" fontId="0" fillId="8" borderId="16" xfId="0" applyNumberFormat="1" applyFill="1" applyBorder="1" applyAlignment="1" applyProtection="1">
      <alignment horizontal="left" vertical="center" indent="1" shrinkToFit="1"/>
      <protection locked="0"/>
    </xf>
    <xf numFmtId="3" fontId="0" fillId="0" borderId="17" xfId="0" applyNumberFormat="1" applyBorder="1" applyAlignment="1" applyProtection="1">
      <alignment horizontal="left" vertical="center" indent="1" shrinkToFit="1"/>
      <protection locked="0"/>
    </xf>
    <xf numFmtId="3" fontId="0" fillId="0" borderId="18" xfId="0" applyNumberFormat="1" applyBorder="1" applyAlignment="1" applyProtection="1">
      <alignment horizontal="left" vertical="center" indent="1" shrinkToFit="1"/>
      <protection locked="0"/>
    </xf>
    <xf numFmtId="0" fontId="31" fillId="0" borderId="1" xfId="0" applyFont="1" applyBorder="1" applyAlignment="1">
      <alignment horizontal="left" vertical="center" wrapText="1" indent="1"/>
    </xf>
    <xf numFmtId="0" fontId="9" fillId="0" borderId="2" xfId="0" applyFont="1" applyBorder="1" applyAlignment="1">
      <alignment horizontal="left" vertical="center" indent="1"/>
    </xf>
    <xf numFmtId="0" fontId="9" fillId="0" borderId="3" xfId="0" applyFont="1" applyBorder="1" applyAlignment="1">
      <alignment horizontal="left" vertical="center" indent="1"/>
    </xf>
    <xf numFmtId="0" fontId="9" fillId="0" borderId="4" xfId="0" applyFont="1" applyBorder="1" applyAlignment="1">
      <alignment horizontal="left" vertical="center" indent="1"/>
    </xf>
    <xf numFmtId="0" fontId="9" fillId="0" borderId="0" xfId="0" applyFont="1" applyAlignment="1">
      <alignment horizontal="left" vertical="center" indent="1"/>
    </xf>
    <xf numFmtId="0" fontId="9" fillId="0" borderId="5" xfId="0" applyFont="1" applyBorder="1" applyAlignment="1">
      <alignment horizontal="left" vertical="center" indent="1"/>
    </xf>
    <xf numFmtId="0" fontId="9" fillId="0" borderId="19" xfId="0" applyFont="1" applyBorder="1" applyAlignment="1">
      <alignment horizontal="left" vertical="center" indent="1"/>
    </xf>
    <xf numFmtId="0" fontId="9" fillId="0" borderId="20" xfId="0" applyFont="1" applyBorder="1" applyAlignment="1">
      <alignment horizontal="left" vertical="center" indent="1"/>
    </xf>
    <xf numFmtId="0" fontId="9" fillId="0" borderId="21" xfId="0" applyFont="1" applyBorder="1" applyAlignment="1">
      <alignment horizontal="left" vertical="center" indent="1"/>
    </xf>
    <xf numFmtId="0" fontId="17" fillId="0" borderId="3" xfId="0" applyFont="1" applyBorder="1" applyAlignment="1">
      <alignment horizontal="center" vertical="center" wrapText="1"/>
    </xf>
    <xf numFmtId="0" fontId="17" fillId="0" borderId="0" xfId="0" applyFont="1" applyAlignment="1">
      <alignment horizontal="center" vertical="center" wrapText="1"/>
    </xf>
    <xf numFmtId="0" fontId="17" fillId="0" borderId="5" xfId="0" applyFont="1" applyBorder="1" applyAlignment="1">
      <alignment horizontal="center" vertical="center" wrapText="1"/>
    </xf>
    <xf numFmtId="0" fontId="0" fillId="0" borderId="20" xfId="0" applyBorder="1" applyAlignment="1">
      <alignment horizontal="center" vertical="center"/>
    </xf>
    <xf numFmtId="0" fontId="0" fillId="0" borderId="21" xfId="0" applyBorder="1" applyAlignment="1">
      <alignment horizontal="center" vertical="center"/>
    </xf>
    <xf numFmtId="170" fontId="0" fillId="8" borderId="16" xfId="0" applyNumberFormat="1" applyFill="1" applyBorder="1" applyAlignment="1" applyProtection="1">
      <alignment horizontal="left" vertical="center" indent="1" shrinkToFit="1" readingOrder="1"/>
      <protection locked="0"/>
    </xf>
    <xf numFmtId="170" fontId="0" fillId="0" borderId="17" xfId="0" applyNumberFormat="1" applyBorder="1" applyAlignment="1" applyProtection="1">
      <alignment horizontal="left" vertical="center" indent="1" shrinkToFit="1" readingOrder="1"/>
      <protection locked="0"/>
    </xf>
    <xf numFmtId="0" fontId="10" fillId="29" borderId="16" xfId="0" applyFont="1" applyFill="1" applyBorder="1" applyAlignment="1">
      <alignment horizontal="left" vertical="center" indent="1"/>
    </xf>
    <xf numFmtId="0" fontId="10" fillId="29" borderId="17" xfId="0" applyFont="1" applyFill="1" applyBorder="1" applyAlignment="1">
      <alignment horizontal="left" vertical="center" indent="1"/>
    </xf>
    <xf numFmtId="0" fontId="0" fillId="29" borderId="17" xfId="0" applyFill="1" applyBorder="1" applyAlignment="1">
      <alignment horizontal="left" vertical="center" indent="1"/>
    </xf>
    <xf numFmtId="0" fontId="0" fillId="29" borderId="18" xfId="0" applyFill="1" applyBorder="1" applyAlignment="1">
      <alignment horizontal="left" vertical="center" indent="1"/>
    </xf>
    <xf numFmtId="171" fontId="0" fillId="8" borderId="31" xfId="0" applyNumberFormat="1" applyFill="1" applyBorder="1" applyAlignment="1" applyProtection="1">
      <alignment horizontal="left" indent="1"/>
      <protection locked="0"/>
    </xf>
    <xf numFmtId="0" fontId="23" fillId="8" borderId="31" xfId="1" applyNumberFormat="1" applyFill="1" applyBorder="1" applyAlignment="1" applyProtection="1">
      <alignment horizontal="left" vertical="center" wrapText="1" indent="1"/>
      <protection locked="0"/>
    </xf>
    <xf numFmtId="0" fontId="6" fillId="8" borderId="31" xfId="0" applyFont="1" applyFill="1" applyBorder="1" applyAlignment="1" applyProtection="1">
      <alignment horizontal="left" vertical="center" wrapText="1" indent="1"/>
      <protection locked="0"/>
    </xf>
    <xf numFmtId="0" fontId="10" fillId="0" borderId="31" xfId="0" applyFont="1" applyBorder="1" applyAlignment="1">
      <alignment horizontal="left" vertical="top" indent="1"/>
    </xf>
    <xf numFmtId="0" fontId="0" fillId="0" borderId="16" xfId="0" applyBorder="1" applyAlignment="1">
      <alignment horizontal="left" vertical="top" wrapText="1" indent="3"/>
    </xf>
    <xf numFmtId="0" fontId="0" fillId="0" borderId="17" xfId="0" applyBorder="1" applyAlignment="1">
      <alignment horizontal="left" vertical="top" wrapText="1" indent="3"/>
    </xf>
    <xf numFmtId="0" fontId="0" fillId="0" borderId="18" xfId="0" applyBorder="1" applyAlignment="1">
      <alignment horizontal="left" vertical="top" wrapText="1" indent="3"/>
    </xf>
    <xf numFmtId="0" fontId="10" fillId="0" borderId="31" xfId="0" applyFont="1" applyBorder="1" applyAlignment="1">
      <alignment horizontal="left" vertical="top" wrapText="1" indent="1"/>
    </xf>
    <xf numFmtId="0" fontId="0" fillId="29" borderId="16" xfId="0" applyFill="1" applyBorder="1" applyAlignment="1">
      <alignment horizontal="right" vertical="center" wrapText="1" indent="1"/>
    </xf>
    <xf numFmtId="0" fontId="0" fillId="29" borderId="17" xfId="0" applyFill="1" applyBorder="1" applyAlignment="1">
      <alignment horizontal="right" vertical="center" wrapText="1" indent="1"/>
    </xf>
    <xf numFmtId="0" fontId="0" fillId="29" borderId="18" xfId="0" applyFill="1" applyBorder="1" applyAlignment="1">
      <alignment horizontal="right" vertical="center" wrapText="1" indent="1"/>
    </xf>
    <xf numFmtId="0" fontId="0" fillId="8" borderId="16" xfId="0" applyFill="1" applyBorder="1" applyAlignment="1" applyProtection="1">
      <alignment horizontal="center" vertical="center" shrinkToFit="1"/>
      <protection locked="0"/>
    </xf>
    <xf numFmtId="0" fontId="0" fillId="8" borderId="18" xfId="0" applyFill="1" applyBorder="1" applyAlignment="1" applyProtection="1">
      <alignment horizontal="center" vertical="center" shrinkToFit="1"/>
      <protection locked="0"/>
    </xf>
    <xf numFmtId="49" fontId="0" fillId="8" borderId="31" xfId="1" applyNumberFormat="1" applyFont="1" applyFill="1" applyBorder="1" applyAlignment="1" applyProtection="1">
      <alignment horizontal="left" vertical="center" wrapText="1" indent="1"/>
      <protection locked="0"/>
    </xf>
    <xf numFmtId="49" fontId="6" fillId="8" borderId="31" xfId="0" applyNumberFormat="1" applyFont="1" applyFill="1" applyBorder="1" applyAlignment="1" applyProtection="1">
      <alignment horizontal="left" vertical="center" wrapText="1" indent="1"/>
      <protection locked="0"/>
    </xf>
    <xf numFmtId="0" fontId="14" fillId="4" borderId="31" xfId="0" applyFont="1" applyFill="1" applyBorder="1" applyAlignment="1">
      <alignment horizontal="center" vertical="center" wrapText="1"/>
    </xf>
    <xf numFmtId="0" fontId="10" fillId="0" borderId="16" xfId="0" applyFont="1" applyBorder="1" applyAlignment="1">
      <alignment horizontal="left" vertical="top" wrapText="1" indent="1" shrinkToFit="1"/>
    </xf>
    <xf numFmtId="0" fontId="0" fillId="0" borderId="17" xfId="0" applyBorder="1" applyAlignment="1">
      <alignment horizontal="left" vertical="top" wrapText="1" indent="1" shrinkToFit="1"/>
    </xf>
    <xf numFmtId="0" fontId="0" fillId="0" borderId="18" xfId="0" applyBorder="1" applyAlignment="1">
      <alignment horizontal="left" vertical="top" wrapText="1" indent="1" shrinkToFit="1"/>
    </xf>
    <xf numFmtId="0" fontId="28" fillId="0" borderId="55" xfId="0" applyFont="1" applyBorder="1" applyAlignment="1">
      <alignment vertical="top" wrapText="1"/>
    </xf>
    <xf numFmtId="49" fontId="8" fillId="6" borderId="31" xfId="0" applyNumberFormat="1" applyFont="1" applyFill="1" applyBorder="1" applyAlignment="1">
      <alignment vertical="center"/>
    </xf>
    <xf numFmtId="0" fontId="0" fillId="8" borderId="48" xfId="0" applyFill="1" applyBorder="1" applyAlignment="1" applyProtection="1">
      <alignment horizontal="left" vertical="top" wrapText="1" indent="1"/>
      <protection locked="0"/>
    </xf>
    <xf numFmtId="0" fontId="0" fillId="0" borderId="34" xfId="0" applyBorder="1" applyAlignment="1">
      <alignment horizontal="left" vertical="top" indent="2"/>
    </xf>
    <xf numFmtId="0" fontId="0" fillId="0" borderId="33" xfId="0" applyBorder="1" applyAlignment="1">
      <alignment horizontal="left" vertical="top" indent="2"/>
    </xf>
    <xf numFmtId="0" fontId="10" fillId="4" borderId="16" xfId="0" applyFont="1" applyFill="1" applyBorder="1" applyAlignment="1">
      <alignment horizontal="center" wrapText="1"/>
    </xf>
    <xf numFmtId="0" fontId="10" fillId="4" borderId="17" xfId="0" applyFont="1" applyFill="1" applyBorder="1" applyAlignment="1">
      <alignment horizontal="center" wrapText="1"/>
    </xf>
    <xf numFmtId="0" fontId="10" fillId="4" borderId="18" xfId="0" applyFont="1" applyFill="1" applyBorder="1" applyAlignment="1">
      <alignment horizontal="center" wrapText="1"/>
    </xf>
    <xf numFmtId="0" fontId="0" fillId="0" borderId="51" xfId="0" applyBorder="1" applyAlignment="1">
      <alignment horizontal="left" vertical="top" indent="2"/>
    </xf>
    <xf numFmtId="0" fontId="0" fillId="0" borderId="52" xfId="0" applyBorder="1" applyAlignment="1">
      <alignment horizontal="left" vertical="top" indent="2"/>
    </xf>
    <xf numFmtId="0" fontId="0" fillId="0" borderId="53" xfId="0" applyBorder="1" applyAlignment="1">
      <alignment horizontal="left" vertical="top" indent="2"/>
    </xf>
    <xf numFmtId="0" fontId="0" fillId="0" borderId="25" xfId="0" applyBorder="1" applyAlignment="1">
      <alignment horizontal="left" vertical="top" indent="2"/>
    </xf>
    <xf numFmtId="0" fontId="0" fillId="0" borderId="26" xfId="0" applyBorder="1" applyAlignment="1">
      <alignment horizontal="left" vertical="top" indent="2"/>
    </xf>
    <xf numFmtId="0" fontId="0" fillId="0" borderId="27" xfId="0" applyBorder="1" applyAlignment="1">
      <alignment horizontal="left" vertical="top" indent="2"/>
    </xf>
    <xf numFmtId="0" fontId="0" fillId="0" borderId="28" xfId="0" applyBorder="1" applyAlignment="1">
      <alignment horizontal="left" vertical="top" indent="2"/>
    </xf>
    <xf numFmtId="0" fontId="0" fillId="0" borderId="29" xfId="0" applyBorder="1" applyAlignment="1">
      <alignment horizontal="left" vertical="top" indent="2"/>
    </xf>
    <xf numFmtId="0" fontId="0" fillId="0" borderId="30" xfId="0" applyBorder="1" applyAlignment="1">
      <alignment horizontal="left" vertical="top" indent="2"/>
    </xf>
    <xf numFmtId="0" fontId="0" fillId="0" borderId="32" xfId="0" applyBorder="1" applyAlignment="1">
      <alignment horizontal="left" vertical="top" wrapText="1" indent="1"/>
    </xf>
    <xf numFmtId="0" fontId="10" fillId="0" borderId="153" xfId="0" applyFont="1" applyBorder="1" applyAlignment="1">
      <alignment horizontal="center" vertical="center"/>
    </xf>
    <xf numFmtId="0" fontId="0" fillId="0" borderId="153" xfId="0" applyBorder="1" applyAlignment="1">
      <alignment horizontal="center" vertical="center"/>
    </xf>
    <xf numFmtId="0" fontId="10" fillId="0" borderId="32" xfId="0" applyFont="1" applyBorder="1" applyAlignment="1">
      <alignment horizontal="center" vertical="center" wrapText="1"/>
    </xf>
    <xf numFmtId="0" fontId="0" fillId="0" borderId="33" xfId="0" applyBorder="1" applyAlignment="1">
      <alignment horizontal="center" vertical="center" wrapText="1"/>
    </xf>
    <xf numFmtId="38" fontId="10" fillId="8" borderId="32" xfId="0" applyNumberFormat="1" applyFont="1" applyFill="1" applyBorder="1" applyAlignment="1" applyProtection="1">
      <alignment horizontal="center" vertical="center" wrapText="1"/>
      <protection locked="0"/>
    </xf>
    <xf numFmtId="0" fontId="0" fillId="0" borderId="33" xfId="0" applyBorder="1" applyAlignment="1" applyProtection="1">
      <alignment horizontal="center" vertical="center" wrapText="1"/>
      <protection locked="0"/>
    </xf>
    <xf numFmtId="0" fontId="0" fillId="8" borderId="1" xfId="0" applyFill="1" applyBorder="1" applyAlignment="1" applyProtection="1">
      <alignment horizontal="left" vertical="top" wrapText="1" indent="1"/>
      <protection locked="0"/>
    </xf>
    <xf numFmtId="0" fontId="0" fillId="0" borderId="2" xfId="0" applyBorder="1" applyAlignment="1" applyProtection="1">
      <alignment horizontal="left" vertical="top" wrapText="1" indent="1"/>
      <protection locked="0"/>
    </xf>
    <xf numFmtId="0" fontId="0" fillId="0" borderId="3" xfId="0" applyBorder="1" applyAlignment="1" applyProtection="1">
      <alignment horizontal="left" vertical="top" wrapText="1" indent="1"/>
      <protection locked="0"/>
    </xf>
    <xf numFmtId="0" fontId="0" fillId="0" borderId="19" xfId="0" applyBorder="1" applyAlignment="1" applyProtection="1">
      <alignment horizontal="left" vertical="top" wrapText="1" indent="1"/>
      <protection locked="0"/>
    </xf>
    <xf numFmtId="0" fontId="0" fillId="0" borderId="20" xfId="0" applyBorder="1" applyAlignment="1" applyProtection="1">
      <alignment horizontal="left" vertical="top" wrapText="1" indent="1"/>
      <protection locked="0"/>
    </xf>
    <xf numFmtId="0" fontId="0" fillId="0" borderId="21" xfId="0" applyBorder="1" applyAlignment="1" applyProtection="1">
      <alignment horizontal="left" vertical="top" wrapText="1" indent="1"/>
      <protection locked="0"/>
    </xf>
    <xf numFmtId="49" fontId="0" fillId="0" borderId="1" xfId="0" applyNumberFormat="1" applyBorder="1" applyAlignment="1">
      <alignment horizontal="left" vertical="center" wrapText="1" indent="1"/>
    </xf>
    <xf numFmtId="0" fontId="0" fillId="0" borderId="2" xfId="0" applyBorder="1" applyAlignment="1">
      <alignment horizontal="left" wrapText="1" indent="1"/>
    </xf>
    <xf numFmtId="0" fontId="0" fillId="0" borderId="3" xfId="0" applyBorder="1" applyAlignment="1">
      <alignment horizontal="left" wrapText="1" indent="1"/>
    </xf>
    <xf numFmtId="0" fontId="0" fillId="0" borderId="19" xfId="0" applyBorder="1" applyAlignment="1">
      <alignment horizontal="left" wrapText="1" indent="1"/>
    </xf>
    <xf numFmtId="0" fontId="0" fillId="0" borderId="20" xfId="0" applyBorder="1" applyAlignment="1">
      <alignment horizontal="left" wrapText="1" indent="1"/>
    </xf>
    <xf numFmtId="0" fontId="0" fillId="0" borderId="21" xfId="0" applyBorder="1" applyAlignment="1">
      <alignment horizontal="left" wrapText="1" indent="1"/>
    </xf>
    <xf numFmtId="49" fontId="0" fillId="8" borderId="1" xfId="0" applyNumberFormat="1" applyFill="1" applyBorder="1" applyAlignment="1" applyProtection="1">
      <alignment horizontal="left" vertical="top" wrapText="1" indent="1"/>
      <protection locked="0"/>
    </xf>
    <xf numFmtId="0" fontId="0" fillId="0" borderId="2" xfId="0" applyBorder="1" applyAlignment="1">
      <alignment horizontal="left" vertical="top" wrapText="1" indent="1"/>
    </xf>
    <xf numFmtId="0" fontId="0" fillId="0" borderId="3" xfId="0" applyBorder="1" applyAlignment="1">
      <alignment horizontal="left" vertical="top" wrapText="1" indent="1"/>
    </xf>
    <xf numFmtId="0" fontId="0" fillId="0" borderId="4" xfId="0" applyBorder="1" applyAlignment="1">
      <alignment horizontal="left" vertical="top" wrapText="1" indent="1"/>
    </xf>
    <xf numFmtId="0" fontId="0" fillId="0" borderId="0" xfId="0" applyAlignment="1">
      <alignment horizontal="left" vertical="top" wrapText="1" indent="1"/>
    </xf>
    <xf numFmtId="0" fontId="0" fillId="0" borderId="5" xfId="0" applyBorder="1" applyAlignment="1">
      <alignment horizontal="left" vertical="top" wrapText="1" indent="1"/>
    </xf>
    <xf numFmtId="0" fontId="0" fillId="0" borderId="19" xfId="0" applyBorder="1" applyAlignment="1">
      <alignment horizontal="left" vertical="top" wrapText="1" indent="1"/>
    </xf>
    <xf numFmtId="0" fontId="0" fillId="0" borderId="20" xfId="0" applyBorder="1" applyAlignment="1">
      <alignment horizontal="left" vertical="top" wrapText="1" indent="1"/>
    </xf>
    <xf numFmtId="0" fontId="0" fillId="0" borderId="21" xfId="0" applyBorder="1" applyAlignment="1">
      <alignment horizontal="left" vertical="top" wrapText="1" indent="1"/>
    </xf>
    <xf numFmtId="0" fontId="0" fillId="0" borderId="25" xfId="0" applyBorder="1" applyAlignment="1">
      <alignment horizontal="left" vertical="top" wrapText="1" indent="2"/>
    </xf>
    <xf numFmtId="0" fontId="0" fillId="0" borderId="26" xfId="0" applyBorder="1" applyAlignment="1">
      <alignment horizontal="left" vertical="top" wrapText="1" indent="2"/>
    </xf>
    <xf numFmtId="0" fontId="0" fillId="0" borderId="27" xfId="0" applyBorder="1" applyAlignment="1">
      <alignment horizontal="left" vertical="top" wrapText="1" indent="2"/>
    </xf>
    <xf numFmtId="0" fontId="0" fillId="8" borderId="47" xfId="0" applyFill="1" applyBorder="1" applyAlignment="1" applyProtection="1">
      <alignment horizontal="left" vertical="top" wrapText="1" indent="1"/>
      <protection locked="0"/>
    </xf>
    <xf numFmtId="0" fontId="0" fillId="0" borderId="49" xfId="0" applyBorder="1" applyAlignment="1">
      <alignment horizontal="left" vertical="top" wrapText="1" indent="2"/>
    </xf>
    <xf numFmtId="0" fontId="8" fillId="6" borderId="31" xfId="0" applyFont="1" applyFill="1" applyBorder="1" applyAlignment="1">
      <alignment vertical="center"/>
    </xf>
    <xf numFmtId="0" fontId="8" fillId="6" borderId="1" xfId="0" applyFont="1" applyFill="1" applyBorder="1" applyAlignment="1">
      <alignment horizontal="center" vertical="top" wrapText="1"/>
    </xf>
    <xf numFmtId="0" fontId="0" fillId="0" borderId="4" xfId="0" applyBorder="1" applyAlignment="1">
      <alignment horizontal="center" vertical="top" wrapText="1"/>
    </xf>
    <xf numFmtId="0" fontId="0" fillId="0" borderId="19" xfId="0" applyBorder="1" applyAlignment="1">
      <alignment horizontal="center" vertical="top" wrapText="1"/>
    </xf>
    <xf numFmtId="0" fontId="0" fillId="0" borderId="31" xfId="0" applyBorder="1" applyAlignment="1">
      <alignment horizontal="left" vertical="top" wrapText="1"/>
    </xf>
    <xf numFmtId="0" fontId="0" fillId="0" borderId="34" xfId="0" applyBorder="1" applyAlignment="1">
      <alignment horizontal="center" vertical="center" wrapText="1"/>
    </xf>
    <xf numFmtId="0" fontId="0" fillId="8" borderId="2" xfId="0" applyFill="1" applyBorder="1" applyAlignment="1" applyProtection="1">
      <alignment horizontal="left" vertical="top" wrapText="1" indent="1"/>
      <protection locked="0"/>
    </xf>
    <xf numFmtId="0" fontId="0" fillId="8" borderId="3" xfId="0" applyFill="1" applyBorder="1" applyAlignment="1" applyProtection="1">
      <alignment horizontal="left" vertical="top" wrapText="1" indent="1"/>
      <protection locked="0"/>
    </xf>
    <xf numFmtId="0" fontId="0" fillId="8" borderId="4" xfId="0" applyFill="1" applyBorder="1" applyAlignment="1" applyProtection="1">
      <alignment horizontal="left" vertical="top" wrapText="1" indent="1"/>
      <protection locked="0"/>
    </xf>
    <xf numFmtId="0" fontId="0" fillId="8" borderId="0" xfId="0" applyFill="1" applyAlignment="1" applyProtection="1">
      <alignment horizontal="left" vertical="top" wrapText="1" indent="1"/>
      <protection locked="0"/>
    </xf>
    <xf numFmtId="0" fontId="0" fillId="8" borderId="5" xfId="0" applyFill="1" applyBorder="1" applyAlignment="1" applyProtection="1">
      <alignment horizontal="left" vertical="top" wrapText="1" indent="1"/>
      <protection locked="0"/>
    </xf>
    <xf numFmtId="0" fontId="0" fillId="8" borderId="19" xfId="0" applyFill="1" applyBorder="1" applyAlignment="1" applyProtection="1">
      <alignment horizontal="left" vertical="top" wrapText="1" indent="1"/>
      <protection locked="0"/>
    </xf>
    <xf numFmtId="0" fontId="0" fillId="8" borderId="20" xfId="0" applyFill="1" applyBorder="1" applyAlignment="1" applyProtection="1">
      <alignment horizontal="left" vertical="top" wrapText="1" indent="1"/>
      <protection locked="0"/>
    </xf>
    <xf numFmtId="0" fontId="0" fillId="8" borderId="21" xfId="0" applyFill="1" applyBorder="1" applyAlignment="1" applyProtection="1">
      <alignment horizontal="left" vertical="top" wrapText="1" indent="1"/>
      <protection locked="0"/>
    </xf>
    <xf numFmtId="0" fontId="0" fillId="0" borderId="22" xfId="0" applyBorder="1" applyAlignment="1">
      <alignment horizontal="left" vertical="top" wrapText="1" indent="2"/>
    </xf>
    <xf numFmtId="0" fontId="0" fillId="0" borderId="23" xfId="0" applyBorder="1" applyAlignment="1">
      <alignment horizontal="left" vertical="top" wrapText="1"/>
    </xf>
    <xf numFmtId="0" fontId="0" fillId="0" borderId="24" xfId="0" applyBorder="1" applyAlignment="1">
      <alignment horizontal="left" vertical="top" wrapText="1"/>
    </xf>
    <xf numFmtId="0" fontId="0" fillId="0" borderId="28" xfId="0" applyBorder="1" applyAlignment="1">
      <alignment horizontal="left" vertical="top" wrapText="1" indent="2"/>
    </xf>
    <xf numFmtId="0" fontId="0" fillId="0" borderId="29" xfId="0" applyBorder="1" applyAlignment="1">
      <alignment horizontal="left" vertical="top" wrapText="1"/>
    </xf>
    <xf numFmtId="0" fontId="0" fillId="0" borderId="30" xfId="0" applyBorder="1" applyAlignment="1">
      <alignment horizontal="left" vertical="top" wrapText="1"/>
    </xf>
    <xf numFmtId="0" fontId="10" fillId="8" borderId="32" xfId="0" applyFont="1" applyFill="1" applyBorder="1" applyAlignment="1" applyProtection="1">
      <alignment horizontal="center" vertical="center" wrapText="1"/>
      <protection locked="0"/>
    </xf>
    <xf numFmtId="0" fontId="10" fillId="8" borderId="34" xfId="0" applyFont="1" applyFill="1" applyBorder="1" applyAlignment="1" applyProtection="1">
      <alignment horizontal="center" vertical="center" wrapText="1"/>
      <protection locked="0"/>
    </xf>
    <xf numFmtId="0" fontId="10" fillId="8" borderId="33" xfId="0" applyFont="1" applyFill="1" applyBorder="1" applyAlignment="1" applyProtection="1">
      <alignment horizontal="center" vertical="center" wrapText="1"/>
      <protection locked="0"/>
    </xf>
    <xf numFmtId="0" fontId="0" fillId="8" borderId="25" xfId="0" applyFill="1" applyBorder="1" applyAlignment="1" applyProtection="1">
      <alignment horizontal="left" vertical="top" wrapText="1" indent="1"/>
      <protection locked="0"/>
    </xf>
    <xf numFmtId="0" fontId="0" fillId="8" borderId="26" xfId="0" applyFill="1" applyBorder="1" applyAlignment="1" applyProtection="1">
      <alignment horizontal="left" vertical="top" wrapText="1" indent="1"/>
      <protection locked="0"/>
    </xf>
    <xf numFmtId="0" fontId="0" fillId="8" borderId="27" xfId="0" applyFill="1" applyBorder="1" applyAlignment="1" applyProtection="1">
      <alignment horizontal="left" vertical="top" wrapText="1" indent="1"/>
      <protection locked="0"/>
    </xf>
    <xf numFmtId="0" fontId="0" fillId="8" borderId="49" xfId="0" applyFill="1" applyBorder="1" applyAlignment="1" applyProtection="1">
      <alignment horizontal="left" vertical="top" wrapText="1" indent="1"/>
      <protection locked="0"/>
    </xf>
    <xf numFmtId="0" fontId="9" fillId="8" borderId="49" xfId="0" applyFont="1" applyFill="1" applyBorder="1" applyAlignment="1" applyProtection="1">
      <alignment horizontal="left" vertical="top" wrapText="1" indent="1"/>
      <protection locked="0"/>
    </xf>
    <xf numFmtId="0" fontId="0" fillId="0" borderId="55" xfId="0" applyBorder="1" applyAlignment="1">
      <alignment horizontal="left" vertical="top" wrapText="1"/>
    </xf>
    <xf numFmtId="0" fontId="0" fillId="8" borderId="16" xfId="0" applyFill="1" applyBorder="1" applyAlignment="1" applyProtection="1">
      <alignment horizontal="left" vertical="top" wrapText="1" indent="1"/>
      <protection locked="0"/>
    </xf>
    <xf numFmtId="0" fontId="0" fillId="8" borderId="17" xfId="0" applyFill="1" applyBorder="1" applyAlignment="1" applyProtection="1">
      <alignment horizontal="left" vertical="top" wrapText="1" indent="1"/>
      <protection locked="0"/>
    </xf>
    <xf numFmtId="0" fontId="0" fillId="8" borderId="18" xfId="0" applyFill="1" applyBorder="1" applyAlignment="1" applyProtection="1">
      <alignment horizontal="left" vertical="top" wrapText="1" indent="1"/>
      <protection locked="0"/>
    </xf>
    <xf numFmtId="0" fontId="10" fillId="0" borderId="31" xfId="0" applyFont="1" applyBorder="1" applyAlignment="1">
      <alignment horizontal="left" vertical="top" wrapText="1"/>
    </xf>
    <xf numFmtId="0" fontId="8" fillId="6" borderId="1" xfId="0" applyFont="1" applyFill="1" applyBorder="1" applyAlignment="1">
      <alignment horizontal="center" vertical="top"/>
    </xf>
    <xf numFmtId="0" fontId="0" fillId="0" borderId="3" xfId="0" applyBorder="1" applyAlignment="1">
      <alignment horizontal="center" vertical="top"/>
    </xf>
    <xf numFmtId="0" fontId="0" fillId="0" borderId="4" xfId="0" applyBorder="1" applyAlignment="1">
      <alignment horizontal="center" vertical="top"/>
    </xf>
    <xf numFmtId="0" fontId="0" fillId="0" borderId="5" xfId="0" applyBorder="1" applyAlignment="1">
      <alignment horizontal="center" vertical="top"/>
    </xf>
    <xf numFmtId="0" fontId="0" fillId="0" borderId="19" xfId="0" applyBorder="1" applyAlignment="1">
      <alignment horizontal="center" vertical="top"/>
    </xf>
    <xf numFmtId="0" fontId="0" fillId="0" borderId="21" xfId="0" applyBorder="1" applyAlignment="1">
      <alignment horizontal="center" vertical="top"/>
    </xf>
    <xf numFmtId="0" fontId="8" fillId="11" borderId="32" xfId="0" applyFont="1" applyFill="1" applyBorder="1" applyAlignment="1">
      <alignment horizontal="center" vertical="top"/>
    </xf>
    <xf numFmtId="0" fontId="0" fillId="0" borderId="32" xfId="0" applyBorder="1"/>
    <xf numFmtId="49" fontId="10" fillId="0" borderId="31" xfId="0" applyNumberFormat="1" applyFont="1" applyBorder="1" applyAlignment="1">
      <alignment vertical="top" wrapText="1"/>
    </xf>
    <xf numFmtId="49" fontId="0" fillId="0" borderId="31" xfId="0" applyNumberFormat="1" applyBorder="1" applyAlignment="1">
      <alignment vertical="top" wrapText="1"/>
    </xf>
    <xf numFmtId="0" fontId="0" fillId="0" borderId="16" xfId="0" applyBorder="1" applyAlignment="1">
      <alignment wrapText="1"/>
    </xf>
    <xf numFmtId="0" fontId="0" fillId="0" borderId="17" xfId="0" applyBorder="1" applyAlignment="1">
      <alignment wrapText="1"/>
    </xf>
    <xf numFmtId="0" fontId="0" fillId="0" borderId="18" xfId="0" applyBorder="1" applyAlignment="1">
      <alignment wrapText="1"/>
    </xf>
    <xf numFmtId="49" fontId="0" fillId="0" borderId="31" xfId="0" applyNumberFormat="1" applyBorder="1" applyAlignment="1">
      <alignment horizontal="left" vertical="top" wrapText="1" indent="2"/>
    </xf>
    <xf numFmtId="0" fontId="8" fillId="11" borderId="33" xfId="0" applyFont="1" applyFill="1" applyBorder="1" applyAlignment="1">
      <alignment horizontal="center" vertical="top"/>
    </xf>
    <xf numFmtId="0" fontId="0" fillId="0" borderId="33" xfId="0" applyBorder="1"/>
    <xf numFmtId="2" fontId="2" fillId="0" borderId="16" xfId="0" applyNumberFormat="1" applyFont="1" applyBorder="1" applyAlignment="1">
      <alignment horizontal="center" vertical="center"/>
    </xf>
    <xf numFmtId="2" fontId="2" fillId="0" borderId="17" xfId="0" applyNumberFormat="1" applyFont="1" applyBorder="1" applyAlignment="1">
      <alignment horizontal="center" vertical="center"/>
    </xf>
    <xf numFmtId="2" fontId="0" fillId="0" borderId="18" xfId="0" applyNumberFormat="1" applyBorder="1" applyAlignment="1">
      <alignment horizontal="center" vertical="center"/>
    </xf>
    <xf numFmtId="0" fontId="10" fillId="0" borderId="16" xfId="0" applyFont="1" applyBorder="1" applyAlignment="1">
      <alignment horizontal="left" vertical="center" wrapText="1" indent="3"/>
    </xf>
    <xf numFmtId="0" fontId="0" fillId="0" borderId="17" xfId="0" applyBorder="1" applyAlignment="1">
      <alignment horizontal="left" vertical="center" wrapText="1" indent="3"/>
    </xf>
    <xf numFmtId="0" fontId="0" fillId="0" borderId="18" xfId="0" applyBorder="1" applyAlignment="1">
      <alignment horizontal="left" vertical="center" wrapText="1" indent="3"/>
    </xf>
    <xf numFmtId="0" fontId="10" fillId="0" borderId="150" xfId="0" applyFont="1" applyBorder="1" applyAlignment="1">
      <alignment horizontal="center" vertical="center" wrapText="1"/>
    </xf>
    <xf numFmtId="0" fontId="10" fillId="0" borderId="33" xfId="0" applyFont="1" applyBorder="1" applyAlignment="1">
      <alignment horizontal="center" vertical="center" wrapText="1"/>
    </xf>
    <xf numFmtId="0" fontId="0" fillId="0" borderId="151" xfId="0" applyBorder="1" applyAlignment="1">
      <alignment horizontal="center" vertical="center" wrapText="1"/>
    </xf>
    <xf numFmtId="0" fontId="10" fillId="0" borderId="34" xfId="0" applyFont="1" applyBorder="1" applyAlignment="1">
      <alignment horizontal="center" vertical="center" wrapText="1"/>
    </xf>
    <xf numFmtId="0" fontId="10" fillId="0" borderId="151" xfId="0" applyFont="1" applyBorder="1" applyAlignment="1">
      <alignment horizontal="center" vertical="center" wrapText="1"/>
    </xf>
    <xf numFmtId="0" fontId="0" fillId="12" borderId="16" xfId="0" applyFill="1" applyBorder="1" applyAlignment="1">
      <alignment horizontal="left" vertical="center" wrapText="1"/>
    </xf>
    <xf numFmtId="0" fontId="0" fillId="12" borderId="17" xfId="0" applyFill="1" applyBorder="1" applyAlignment="1">
      <alignment horizontal="left" vertical="center" wrapText="1"/>
    </xf>
    <xf numFmtId="0" fontId="0" fillId="0" borderId="17" xfId="0" applyBorder="1" applyAlignment="1">
      <alignment vertical="center" wrapText="1"/>
    </xf>
    <xf numFmtId="0" fontId="0" fillId="0" borderId="18" xfId="0" applyBorder="1" applyAlignment="1">
      <alignment vertical="center" wrapText="1"/>
    </xf>
    <xf numFmtId="0" fontId="10" fillId="0" borderId="19" xfId="0" applyFont="1" applyBorder="1" applyAlignment="1">
      <alignment horizontal="left" vertical="center" wrapText="1" indent="3"/>
    </xf>
    <xf numFmtId="0" fontId="10" fillId="0" borderId="20" xfId="0" applyFont="1" applyBorder="1" applyAlignment="1">
      <alignment horizontal="left" vertical="center" wrapText="1" indent="3"/>
    </xf>
    <xf numFmtId="0" fontId="10" fillId="0" borderId="21" xfId="0" applyFont="1" applyBorder="1" applyAlignment="1">
      <alignment horizontal="left" vertical="center" wrapText="1" indent="3"/>
    </xf>
    <xf numFmtId="0" fontId="2" fillId="8" borderId="19" xfId="0" applyFont="1" applyFill="1" applyBorder="1" applyAlignment="1" applyProtection="1">
      <alignment horizontal="center" vertical="center" wrapText="1"/>
      <protection locked="0"/>
    </xf>
    <xf numFmtId="0" fontId="2" fillId="8" borderId="20" xfId="0" applyFont="1" applyFill="1" applyBorder="1" applyAlignment="1" applyProtection="1">
      <alignment horizontal="center" vertical="center" wrapText="1"/>
      <protection locked="0"/>
    </xf>
    <xf numFmtId="0" fontId="2" fillId="8" borderId="21" xfId="0" applyFont="1" applyFill="1" applyBorder="1" applyAlignment="1" applyProtection="1">
      <alignment horizontal="center" vertical="center" wrapText="1"/>
      <protection locked="0"/>
    </xf>
    <xf numFmtId="0" fontId="10" fillId="0" borderId="17" xfId="0" applyFont="1" applyBorder="1" applyAlignment="1">
      <alignment horizontal="left" vertical="center" wrapText="1" indent="3"/>
    </xf>
    <xf numFmtId="0" fontId="10" fillId="0" borderId="18" xfId="0" applyFont="1" applyBorder="1" applyAlignment="1">
      <alignment horizontal="left" vertical="center" wrapText="1" indent="3"/>
    </xf>
    <xf numFmtId="0" fontId="2" fillId="8" borderId="16" xfId="0" applyFont="1" applyFill="1" applyBorder="1" applyAlignment="1" applyProtection="1">
      <alignment horizontal="center" vertical="center" shrinkToFit="1"/>
      <protection locked="0"/>
    </xf>
    <xf numFmtId="0" fontId="2" fillId="8" borderId="17" xfId="0" applyFont="1" applyFill="1" applyBorder="1" applyAlignment="1" applyProtection="1">
      <alignment horizontal="center" vertical="center" shrinkToFit="1"/>
      <protection locked="0"/>
    </xf>
    <xf numFmtId="0" fontId="0" fillId="0" borderId="18" xfId="0" applyBorder="1" applyAlignment="1" applyProtection="1">
      <alignment horizontal="center" vertical="center" shrinkToFit="1"/>
      <protection locked="0"/>
    </xf>
    <xf numFmtId="0" fontId="10" fillId="0" borderId="16" xfId="0" applyFont="1" applyBorder="1" applyAlignment="1">
      <alignment horizontal="left" vertical="center" wrapText="1" indent="6"/>
    </xf>
    <xf numFmtId="0" fontId="10" fillId="0" borderId="17" xfId="0" applyFont="1" applyBorder="1" applyAlignment="1">
      <alignment horizontal="left" vertical="center" wrapText="1" indent="6"/>
    </xf>
    <xf numFmtId="0" fontId="10" fillId="0" borderId="18" xfId="0" applyFont="1" applyBorder="1" applyAlignment="1">
      <alignment horizontal="left" vertical="center" wrapText="1" indent="6"/>
    </xf>
    <xf numFmtId="0" fontId="2" fillId="8" borderId="16" xfId="0" applyFont="1" applyFill="1" applyBorder="1" applyAlignment="1" applyProtection="1">
      <alignment horizontal="center" vertical="center"/>
      <protection locked="0"/>
    </xf>
    <xf numFmtId="0" fontId="2" fillId="8" borderId="17" xfId="0" applyFont="1" applyFill="1"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8" fillId="11" borderId="34" xfId="0" applyFont="1" applyFill="1" applyBorder="1" applyAlignment="1">
      <alignment horizontal="center" vertical="top"/>
    </xf>
    <xf numFmtId="0" fontId="0" fillId="0" borderId="34" xfId="0" applyBorder="1"/>
    <xf numFmtId="0" fontId="10" fillId="0" borderId="16" xfId="0" applyFont="1" applyBorder="1" applyAlignment="1">
      <alignment horizontal="left" vertical="top" wrapText="1"/>
    </xf>
    <xf numFmtId="0" fontId="0" fillId="0" borderId="17" xfId="0" applyBorder="1" applyAlignment="1">
      <alignment horizontal="left" vertical="top" wrapText="1"/>
    </xf>
    <xf numFmtId="0" fontId="0" fillId="0" borderId="18" xfId="0" applyBorder="1" applyAlignment="1">
      <alignment horizontal="left" vertical="top" wrapText="1"/>
    </xf>
    <xf numFmtId="38" fontId="10" fillId="8" borderId="16" xfId="0" applyNumberFormat="1" applyFont="1" applyFill="1"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0" fillId="0" borderId="18" xfId="0" applyBorder="1" applyAlignment="1" applyProtection="1">
      <alignment horizontal="center" vertical="center" wrapText="1"/>
      <protection locked="0"/>
    </xf>
    <xf numFmtId="0" fontId="0" fillId="0" borderId="31" xfId="0" applyBorder="1" applyAlignment="1">
      <alignment horizontal="left" vertical="top" wrapText="1" indent="2"/>
    </xf>
    <xf numFmtId="0" fontId="10" fillId="8" borderId="16" xfId="0" applyFont="1" applyFill="1" applyBorder="1" applyAlignment="1" applyProtection="1">
      <alignment horizontal="center" vertical="center" wrapText="1"/>
      <protection locked="0"/>
    </xf>
    <xf numFmtId="0" fontId="43" fillId="11" borderId="0" xfId="0" applyFont="1" applyFill="1" applyAlignment="1">
      <alignment horizontal="left" vertical="center" shrinkToFit="1"/>
    </xf>
    <xf numFmtId="0" fontId="88" fillId="0" borderId="1" xfId="0" applyFont="1" applyBorder="1" applyAlignment="1">
      <alignment horizontal="center" vertical="center" shrinkToFit="1"/>
    </xf>
    <xf numFmtId="0" fontId="87" fillId="0" borderId="2" xfId="0" applyFont="1" applyBorder="1" applyAlignment="1">
      <alignment horizontal="center" vertical="center" shrinkToFit="1"/>
    </xf>
    <xf numFmtId="0" fontId="8" fillId="11" borderId="4" xfId="0" applyFont="1" applyFill="1" applyBorder="1" applyAlignment="1">
      <alignment horizontal="center" vertical="top"/>
    </xf>
    <xf numFmtId="0" fontId="0" fillId="0" borderId="0" xfId="0"/>
    <xf numFmtId="0" fontId="0" fillId="0" borderId="5" xfId="0" applyBorder="1"/>
    <xf numFmtId="0" fontId="36" fillId="11" borderId="1" xfId="0" applyFont="1" applyFill="1" applyBorder="1" applyAlignment="1">
      <alignment horizontal="center" vertical="top"/>
    </xf>
    <xf numFmtId="49" fontId="8" fillId="11" borderId="1" xfId="0" applyNumberFormat="1" applyFont="1" applyFill="1" applyBorder="1" applyAlignment="1">
      <alignment horizontal="center" vertical="top" wrapText="1"/>
    </xf>
    <xf numFmtId="0" fontId="0" fillId="0" borderId="31" xfId="0" applyBorder="1" applyAlignment="1">
      <alignment horizontal="left" vertical="center" wrapText="1" indent="1"/>
    </xf>
    <xf numFmtId="49" fontId="0" fillId="8" borderId="31" xfId="0" applyNumberFormat="1" applyFill="1" applyBorder="1" applyAlignment="1" applyProtection="1">
      <alignment horizontal="left" vertical="top" wrapText="1" indent="1"/>
      <protection locked="0"/>
    </xf>
    <xf numFmtId="0" fontId="10" fillId="0" borderId="16" xfId="0" applyFont="1" applyBorder="1" applyAlignment="1">
      <alignment horizontal="left" vertical="center" wrapText="1" indent="1"/>
    </xf>
    <xf numFmtId="0" fontId="0" fillId="0" borderId="17" xfId="0" applyBorder="1" applyAlignment="1">
      <alignment horizontal="left" vertical="center" wrapText="1" indent="1"/>
    </xf>
    <xf numFmtId="0" fontId="14" fillId="0" borderId="16"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18" xfId="0" applyFont="1" applyBorder="1" applyAlignment="1">
      <alignment horizontal="center" vertical="center" wrapText="1"/>
    </xf>
    <xf numFmtId="0" fontId="0" fillId="0" borderId="16" xfId="0" applyBorder="1" applyAlignment="1">
      <alignment horizontal="left" vertical="top" wrapText="1" indent="2"/>
    </xf>
    <xf numFmtId="0" fontId="0" fillId="0" borderId="17" xfId="0" applyBorder="1" applyAlignment="1">
      <alignment horizontal="left" vertical="top" wrapText="1" indent="2"/>
    </xf>
    <xf numFmtId="0" fontId="0" fillId="0" borderId="18" xfId="0" applyBorder="1" applyAlignment="1">
      <alignment horizontal="left" vertical="top" wrapText="1" indent="2"/>
    </xf>
    <xf numFmtId="0" fontId="20" fillId="0" borderId="1" xfId="0" applyFont="1" applyBorder="1" applyAlignment="1">
      <alignment vertical="top" wrapText="1"/>
    </xf>
    <xf numFmtId="0" fontId="20" fillId="0" borderId="2" xfId="0" applyFont="1" applyBorder="1" applyAlignment="1">
      <alignment vertical="top" wrapText="1"/>
    </xf>
    <xf numFmtId="0" fontId="20" fillId="0" borderId="3" xfId="0" applyFont="1" applyBorder="1" applyAlignment="1">
      <alignment vertical="top" wrapText="1"/>
    </xf>
    <xf numFmtId="0" fontId="14" fillId="0" borderId="16" xfId="0" applyFont="1" applyBorder="1" applyAlignment="1">
      <alignment horizontal="left" vertical="center" wrapText="1" indent="1"/>
    </xf>
    <xf numFmtId="0" fontId="14" fillId="0" borderId="17" xfId="0" applyFont="1" applyBorder="1" applyAlignment="1">
      <alignment horizontal="left" vertical="center" wrapText="1" indent="1"/>
    </xf>
    <xf numFmtId="0" fontId="14" fillId="0" borderId="18" xfId="0" applyFont="1" applyBorder="1" applyAlignment="1">
      <alignment horizontal="left" vertical="center" wrapText="1" indent="1"/>
    </xf>
    <xf numFmtId="0" fontId="8" fillId="11" borderId="16" xfId="0" applyFont="1" applyFill="1" applyBorder="1" applyAlignment="1">
      <alignment vertical="center" wrapText="1"/>
    </xf>
    <xf numFmtId="0" fontId="0" fillId="0" borderId="31" xfId="0" applyBorder="1" applyAlignment="1">
      <alignment horizontal="center" vertical="center" shrinkToFit="1"/>
    </xf>
    <xf numFmtId="0" fontId="0" fillId="0" borderId="16" xfId="0" applyBorder="1" applyAlignment="1">
      <alignment horizontal="center" vertical="center" shrinkToFit="1"/>
    </xf>
    <xf numFmtId="2" fontId="0" fillId="8" borderId="146" xfId="0" applyNumberFormat="1" applyFill="1" applyBorder="1" applyAlignment="1" applyProtection="1">
      <alignment horizontal="center" vertical="center" wrapText="1"/>
      <protection locked="0"/>
    </xf>
    <xf numFmtId="2" fontId="0" fillId="0" borderId="20" xfId="0" applyNumberFormat="1" applyBorder="1" applyAlignment="1" applyProtection="1">
      <alignment horizontal="center" vertical="center" wrapText="1"/>
      <protection locked="0"/>
    </xf>
    <xf numFmtId="2" fontId="0" fillId="0" borderId="21" xfId="0" applyNumberFormat="1" applyBorder="1" applyAlignment="1" applyProtection="1">
      <alignment horizontal="center" vertical="center" wrapText="1"/>
      <protection locked="0"/>
    </xf>
    <xf numFmtId="0" fontId="10" fillId="0" borderId="31"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149" xfId="0" applyFont="1" applyBorder="1" applyAlignment="1">
      <alignment horizontal="center" vertical="center" wrapText="1"/>
    </xf>
    <xf numFmtId="0" fontId="0" fillId="0" borderId="2" xfId="0" applyBorder="1" applyAlignment="1">
      <alignment horizontal="center" vertical="center" wrapText="1"/>
    </xf>
    <xf numFmtId="0" fontId="10" fillId="0" borderId="146" xfId="0" applyFont="1"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49" fontId="0" fillId="0" borderId="16" xfId="0" applyNumberFormat="1" applyBorder="1" applyAlignment="1">
      <alignment horizontal="left" vertical="top" wrapText="1"/>
    </xf>
    <xf numFmtId="49" fontId="0" fillId="8" borderId="1" xfId="0" applyNumberFormat="1" applyFill="1" applyBorder="1" applyAlignment="1" applyProtection="1">
      <alignment horizontal="left" vertical="center" wrapText="1" indent="1"/>
      <protection locked="0"/>
    </xf>
    <xf numFmtId="49" fontId="0" fillId="8" borderId="2" xfId="0" applyNumberFormat="1" applyFill="1" applyBorder="1" applyAlignment="1" applyProtection="1">
      <alignment horizontal="left" vertical="center" wrapText="1" indent="1"/>
      <protection locked="0"/>
    </xf>
    <xf numFmtId="49" fontId="0" fillId="8" borderId="3" xfId="0" applyNumberFormat="1" applyFill="1" applyBorder="1" applyAlignment="1" applyProtection="1">
      <alignment horizontal="left" vertical="center" wrapText="1" indent="1"/>
      <protection locked="0"/>
    </xf>
    <xf numFmtId="0" fontId="0" fillId="8" borderId="19" xfId="0" applyFill="1" applyBorder="1" applyAlignment="1" applyProtection="1">
      <alignment horizontal="left" vertical="center" wrapText="1" indent="1"/>
      <protection locked="0"/>
    </xf>
    <xf numFmtId="0" fontId="0" fillId="8" borderId="20" xfId="0" applyFill="1" applyBorder="1" applyAlignment="1" applyProtection="1">
      <alignment horizontal="left" vertical="center" wrapText="1" indent="1"/>
      <protection locked="0"/>
    </xf>
    <xf numFmtId="0" fontId="0" fillId="8" borderId="21" xfId="0" applyFill="1" applyBorder="1" applyAlignment="1" applyProtection="1">
      <alignment horizontal="left" vertical="center" wrapText="1" indent="1"/>
      <protection locked="0"/>
    </xf>
    <xf numFmtId="49" fontId="10" fillId="0" borderId="16" xfId="0" applyNumberFormat="1" applyFont="1" applyBorder="1" applyAlignment="1">
      <alignment horizontal="left" vertical="top" wrapText="1" indent="2"/>
    </xf>
    <xf numFmtId="49" fontId="0" fillId="0" borderId="17" xfId="0" applyNumberFormat="1" applyBorder="1" applyAlignment="1">
      <alignment horizontal="left" vertical="top" wrapText="1"/>
    </xf>
    <xf numFmtId="0" fontId="0" fillId="8" borderId="1" xfId="0" applyFill="1" applyBorder="1" applyAlignment="1" applyProtection="1">
      <alignment horizontal="left" vertical="center" wrapText="1" indent="1"/>
      <protection locked="0"/>
    </xf>
    <xf numFmtId="0" fontId="0" fillId="8" borderId="2" xfId="0" applyFill="1" applyBorder="1" applyAlignment="1" applyProtection="1">
      <alignment horizontal="left" vertical="center" wrapText="1" indent="1"/>
      <protection locked="0"/>
    </xf>
    <xf numFmtId="0" fontId="0" fillId="8" borderId="3" xfId="0" applyFill="1" applyBorder="1" applyAlignment="1" applyProtection="1">
      <alignment horizontal="left" vertical="center" wrapText="1" indent="1"/>
      <protection locked="0"/>
    </xf>
    <xf numFmtId="0" fontId="0" fillId="0" borderId="4" xfId="0" applyBorder="1" applyAlignment="1" applyProtection="1">
      <alignment horizontal="left" vertical="center" wrapText="1" indent="1"/>
      <protection locked="0"/>
    </xf>
    <xf numFmtId="0" fontId="0" fillId="0" borderId="0" xfId="0" applyAlignment="1" applyProtection="1">
      <alignment horizontal="left" vertical="center" wrapText="1" indent="1"/>
      <protection locked="0"/>
    </xf>
    <xf numFmtId="0" fontId="0" fillId="0" borderId="5" xfId="0" applyBorder="1" applyAlignment="1" applyProtection="1">
      <alignment horizontal="left" vertical="center" wrapText="1" indent="1"/>
      <protection locked="0"/>
    </xf>
    <xf numFmtId="0" fontId="0" fillId="0" borderId="19" xfId="0" applyBorder="1" applyAlignment="1" applyProtection="1">
      <alignment horizontal="left" vertical="center" wrapText="1" indent="1"/>
      <protection locked="0"/>
    </xf>
    <xf numFmtId="0" fontId="0" fillId="0" borderId="20" xfId="0" applyBorder="1" applyAlignment="1" applyProtection="1">
      <alignment horizontal="left" vertical="center" wrapText="1" indent="1"/>
      <protection locked="0"/>
    </xf>
    <xf numFmtId="0" fontId="0" fillId="0" borderId="21" xfId="0" applyBorder="1" applyAlignment="1" applyProtection="1">
      <alignment horizontal="left" vertical="center" wrapText="1" indent="1"/>
      <protection locked="0"/>
    </xf>
    <xf numFmtId="0" fontId="21" fillId="0" borderId="16" xfId="0" applyFont="1" applyBorder="1" applyAlignment="1">
      <alignment horizontal="left" vertical="center" wrapText="1" indent="1"/>
    </xf>
    <xf numFmtId="0" fontId="0" fillId="0" borderId="18" xfId="0" applyBorder="1" applyAlignment="1">
      <alignment horizontal="left" vertical="center" wrapText="1" indent="1"/>
    </xf>
    <xf numFmtId="0" fontId="8" fillId="11" borderId="1" xfId="0" applyFont="1" applyFill="1" applyBorder="1" applyAlignment="1">
      <alignment horizontal="center" vertical="top"/>
    </xf>
    <xf numFmtId="0" fontId="0" fillId="0" borderId="3" xfId="0" applyBorder="1"/>
    <xf numFmtId="0" fontId="0" fillId="0" borderId="16" xfId="0" applyBorder="1" applyAlignment="1">
      <alignment horizontal="left" vertical="top" wrapText="1"/>
    </xf>
    <xf numFmtId="0" fontId="35" fillId="8" borderId="16" xfId="0" applyFont="1" applyFill="1" applyBorder="1" applyAlignment="1" applyProtection="1">
      <alignment horizontal="center" vertical="center" wrapText="1"/>
      <protection locked="0"/>
    </xf>
    <xf numFmtId="0" fontId="15" fillId="0" borderId="16" xfId="0" applyFont="1" applyBorder="1" applyAlignment="1">
      <alignment horizontal="left" vertical="center" wrapText="1" indent="1"/>
    </xf>
    <xf numFmtId="0" fontId="15" fillId="0" borderId="17" xfId="0" applyFont="1" applyBorder="1" applyAlignment="1">
      <alignment horizontal="left" vertical="center" indent="1"/>
    </xf>
    <xf numFmtId="0" fontId="15" fillId="0" borderId="18" xfId="0" applyFont="1" applyBorder="1" applyAlignment="1">
      <alignment horizontal="left" vertical="center" indent="1"/>
    </xf>
    <xf numFmtId="0" fontId="8" fillId="15" borderId="16" xfId="0" applyFont="1" applyFill="1" applyBorder="1" applyAlignment="1">
      <alignment vertical="center"/>
    </xf>
    <xf numFmtId="0" fontId="8" fillId="15" borderId="17" xfId="0" applyFont="1" applyFill="1" applyBorder="1" applyAlignment="1">
      <alignment vertical="center"/>
    </xf>
    <xf numFmtId="0" fontId="8" fillId="15" borderId="18" xfId="0" applyFont="1" applyFill="1" applyBorder="1" applyAlignment="1">
      <alignment vertical="center"/>
    </xf>
    <xf numFmtId="0" fontId="40" fillId="13" borderId="16" xfId="0" applyFont="1" applyFill="1" applyBorder="1" applyAlignment="1" applyProtection="1">
      <alignment horizontal="left" vertical="top" wrapText="1" indent="1"/>
      <protection locked="0"/>
    </xf>
    <xf numFmtId="0" fontId="40" fillId="13" borderId="17" xfId="0" applyFont="1" applyFill="1" applyBorder="1" applyAlignment="1" applyProtection="1">
      <alignment horizontal="left" vertical="top" wrapText="1" indent="1"/>
      <protection locked="0"/>
    </xf>
    <xf numFmtId="0" fontId="40" fillId="13" borderId="18" xfId="0" applyFont="1" applyFill="1" applyBorder="1" applyAlignment="1" applyProtection="1">
      <alignment horizontal="left" vertical="top" wrapText="1" indent="1"/>
      <protection locked="0"/>
    </xf>
    <xf numFmtId="0" fontId="14" fillId="0" borderId="16" xfId="0" applyFont="1" applyBorder="1" applyAlignment="1">
      <alignment horizontal="center" vertical="center"/>
    </xf>
    <xf numFmtId="0" fontId="14" fillId="0" borderId="17" xfId="0" applyFont="1" applyBorder="1" applyAlignment="1">
      <alignment horizontal="center" vertical="center"/>
    </xf>
    <xf numFmtId="0" fontId="14" fillId="0" borderId="18" xfId="0" applyFont="1" applyBorder="1" applyAlignment="1">
      <alignment horizontal="center" vertical="center"/>
    </xf>
    <xf numFmtId="0" fontId="25" fillId="6" borderId="16" xfId="0" applyFont="1" applyFill="1" applyBorder="1" applyAlignment="1">
      <alignment vertical="center" wrapText="1"/>
    </xf>
    <xf numFmtId="0" fontId="25" fillId="6" borderId="17" xfId="0" applyFont="1" applyFill="1" applyBorder="1" applyAlignment="1">
      <alignment vertical="center" wrapText="1"/>
    </xf>
    <xf numFmtId="0" fontId="25" fillId="6" borderId="18" xfId="0" applyFont="1" applyFill="1" applyBorder="1" applyAlignment="1">
      <alignment vertical="center" wrapText="1"/>
    </xf>
    <xf numFmtId="0" fontId="8" fillId="6" borderId="34" xfId="0" applyFont="1" applyFill="1" applyBorder="1" applyAlignment="1">
      <alignment vertical="center"/>
    </xf>
    <xf numFmtId="0" fontId="10" fillId="0" borderId="19" xfId="0" applyFont="1" applyBorder="1" applyAlignment="1">
      <alignment vertical="top" wrapText="1"/>
    </xf>
    <xf numFmtId="0" fontId="10" fillId="0" borderId="20" xfId="0" applyFont="1" applyBorder="1" applyAlignment="1">
      <alignment vertical="top" wrapText="1"/>
    </xf>
    <xf numFmtId="0" fontId="10" fillId="0" borderId="19" xfId="0" applyFont="1" applyBorder="1" applyAlignment="1">
      <alignment horizontal="center" vertical="center" wrapText="1"/>
    </xf>
    <xf numFmtId="0" fontId="10" fillId="0" borderId="20" xfId="0" applyFont="1" applyBorder="1" applyAlignment="1">
      <alignment horizontal="center" vertical="center" wrapText="1"/>
    </xf>
    <xf numFmtId="0" fontId="37" fillId="0" borderId="34" xfId="0" applyFont="1" applyBorder="1" applyAlignment="1">
      <alignment horizontal="left" vertical="center" wrapText="1" indent="1"/>
    </xf>
    <xf numFmtId="0" fontId="38" fillId="0" borderId="34" xfId="0" applyFont="1" applyBorder="1" applyAlignment="1">
      <alignment horizontal="left" vertical="center" wrapText="1" indent="1"/>
    </xf>
    <xf numFmtId="0" fontId="10" fillId="0" borderId="22" xfId="0" applyFont="1" applyBorder="1" applyAlignment="1">
      <alignment vertical="top" wrapText="1"/>
    </xf>
    <xf numFmtId="0" fontId="10" fillId="0" borderId="23" xfId="0" applyFont="1" applyBorder="1" applyAlignment="1">
      <alignment vertical="top" wrapText="1"/>
    </xf>
    <xf numFmtId="0" fontId="0" fillId="0" borderId="23" xfId="0" applyBorder="1" applyAlignment="1">
      <alignment wrapText="1"/>
    </xf>
    <xf numFmtId="0" fontId="0" fillId="0" borderId="24" xfId="0" applyBorder="1" applyAlignment="1">
      <alignment wrapText="1"/>
    </xf>
    <xf numFmtId="0" fontId="10" fillId="0" borderId="32" xfId="0" applyFont="1" applyBorder="1" applyAlignment="1">
      <alignment horizontal="center" vertical="center"/>
    </xf>
    <xf numFmtId="0" fontId="0" fillId="0" borderId="34" xfId="0" applyBorder="1" applyAlignment="1">
      <alignment horizontal="center" vertical="center"/>
    </xf>
    <xf numFmtId="0" fontId="10" fillId="8" borderId="1" xfId="0" applyFont="1" applyFill="1" applyBorder="1" applyAlignment="1" applyProtection="1">
      <alignment horizontal="center" vertical="center"/>
      <protection locked="0"/>
    </xf>
    <xf numFmtId="0" fontId="10" fillId="8" borderId="4" xfId="0" applyFont="1" applyFill="1" applyBorder="1" applyAlignment="1" applyProtection="1">
      <alignment horizontal="center" vertical="center"/>
      <protection locked="0"/>
    </xf>
    <xf numFmtId="0" fontId="10" fillId="8" borderId="34" xfId="0" applyFont="1" applyFill="1" applyBorder="1" applyAlignment="1" applyProtection="1">
      <alignment horizontal="center" vertical="center"/>
      <protection locked="0"/>
    </xf>
    <xf numFmtId="0" fontId="9" fillId="0" borderId="1" xfId="0" applyFont="1" applyBorder="1" applyAlignment="1">
      <alignment horizontal="left" vertical="center" wrapText="1" indent="1"/>
    </xf>
    <xf numFmtId="0" fontId="0" fillId="0" borderId="2" xfId="0" applyBorder="1" applyAlignment="1">
      <alignment horizontal="left" vertical="center" wrapText="1" indent="1"/>
    </xf>
    <xf numFmtId="0" fontId="0" fillId="0" borderId="3" xfId="0" applyBorder="1" applyAlignment="1">
      <alignment horizontal="left" vertical="center" wrapText="1" indent="1"/>
    </xf>
    <xf numFmtId="0" fontId="0" fillId="0" borderId="4" xfId="0" applyBorder="1" applyAlignment="1">
      <alignment horizontal="left" vertical="center" wrapText="1" indent="1"/>
    </xf>
    <xf numFmtId="0" fontId="0" fillId="0" borderId="0" xfId="0" applyAlignment="1">
      <alignment horizontal="left" vertical="center" wrapText="1" indent="1"/>
    </xf>
    <xf numFmtId="0" fontId="0" fillId="0" borderId="5" xfId="0" applyBorder="1" applyAlignment="1">
      <alignment horizontal="left" vertical="center" wrapText="1" indent="1"/>
    </xf>
    <xf numFmtId="0" fontId="0" fillId="0" borderId="54" xfId="0" applyBorder="1" applyAlignment="1">
      <alignment horizontal="left" vertical="top" wrapText="1" indent="2"/>
    </xf>
    <xf numFmtId="0" fontId="0" fillId="0" borderId="45" xfId="0" applyBorder="1" applyAlignment="1">
      <alignment horizontal="left" vertical="top" wrapText="1" indent="2"/>
    </xf>
    <xf numFmtId="0" fontId="0" fillId="0" borderId="46" xfId="0" applyBorder="1" applyAlignment="1">
      <alignment horizontal="left" vertical="top" wrapText="1" indent="2"/>
    </xf>
    <xf numFmtId="0" fontId="0" fillId="0" borderId="19" xfId="0" applyBorder="1" applyAlignment="1">
      <alignment horizontal="left" vertical="top" wrapText="1" indent="2"/>
    </xf>
    <xf numFmtId="0" fontId="0" fillId="0" borderId="20" xfId="0" applyBorder="1" applyAlignment="1">
      <alignment horizontal="left" vertical="top" wrapText="1" indent="2"/>
    </xf>
    <xf numFmtId="0" fontId="0" fillId="0" borderId="21" xfId="0" applyBorder="1" applyAlignment="1">
      <alignment horizontal="left" vertical="top" wrapText="1" indent="2"/>
    </xf>
    <xf numFmtId="0" fontId="0" fillId="11" borderId="0" xfId="0" applyFill="1"/>
    <xf numFmtId="0" fontId="0" fillId="11" borderId="5" xfId="0" applyFill="1" applyBorder="1"/>
    <xf numFmtId="0" fontId="10" fillId="0" borderId="55" xfId="0" applyFont="1" applyBorder="1" applyAlignment="1">
      <alignment horizontal="left" vertical="top" wrapText="1"/>
    </xf>
    <xf numFmtId="0" fontId="57" fillId="0" borderId="55" xfId="0" applyFont="1" applyBorder="1" applyAlignment="1">
      <alignment vertical="top" wrapText="1"/>
    </xf>
    <xf numFmtId="0" fontId="18" fillId="0" borderId="55" xfId="0" applyFont="1" applyBorder="1" applyAlignment="1">
      <alignment vertical="top" wrapText="1"/>
    </xf>
    <xf numFmtId="0" fontId="0" fillId="0" borderId="47" xfId="0" applyBorder="1" applyAlignment="1">
      <alignment horizontal="left" vertical="top" wrapText="1" indent="2"/>
    </xf>
    <xf numFmtId="0" fontId="10" fillId="0" borderId="22" xfId="0" applyFont="1" applyBorder="1" applyAlignment="1">
      <alignment horizontal="left" vertical="top" wrapText="1"/>
    </xf>
    <xf numFmtId="0" fontId="10" fillId="0" borderId="23" xfId="0" applyFont="1" applyBorder="1" applyAlignment="1">
      <alignment horizontal="left" vertical="top" wrapText="1"/>
    </xf>
    <xf numFmtId="0" fontId="10" fillId="0" borderId="24" xfId="0" applyFont="1" applyBorder="1" applyAlignment="1">
      <alignment horizontal="left" vertical="top" wrapText="1"/>
    </xf>
    <xf numFmtId="0" fontId="0" fillId="0" borderId="50" xfId="0" applyBorder="1" applyAlignment="1">
      <alignment horizontal="left" vertical="top" wrapText="1" indent="2"/>
    </xf>
    <xf numFmtId="0" fontId="40" fillId="13" borderId="1" xfId="0" applyFont="1" applyFill="1" applyBorder="1" applyAlignment="1" applyProtection="1">
      <alignment horizontal="left" vertical="center" wrapText="1" indent="1"/>
      <protection locked="0"/>
    </xf>
    <xf numFmtId="0" fontId="40" fillId="13" borderId="2" xfId="0" applyFont="1" applyFill="1" applyBorder="1" applyAlignment="1" applyProtection="1">
      <alignment horizontal="left" vertical="center" wrapText="1" indent="1"/>
      <protection locked="0"/>
    </xf>
    <xf numFmtId="0" fontId="40" fillId="13" borderId="3" xfId="0" applyFont="1" applyFill="1" applyBorder="1" applyAlignment="1" applyProtection="1">
      <alignment horizontal="left" vertical="center" wrapText="1" indent="1"/>
      <protection locked="0"/>
    </xf>
    <xf numFmtId="0" fontId="0" fillId="0" borderId="19" xfId="0" applyBorder="1" applyAlignment="1">
      <alignment horizontal="left" vertical="center" wrapText="1" indent="1"/>
    </xf>
    <xf numFmtId="0" fontId="0" fillId="0" borderId="20" xfId="0" applyBorder="1" applyAlignment="1">
      <alignment horizontal="left" vertical="center" wrapText="1" indent="1"/>
    </xf>
    <xf numFmtId="0" fontId="0" fillId="0" borderId="21" xfId="0" applyBorder="1" applyAlignment="1">
      <alignment horizontal="left" vertical="center" wrapText="1" indent="1"/>
    </xf>
    <xf numFmtId="0" fontId="0" fillId="0" borderId="32" xfId="0" applyBorder="1" applyAlignment="1">
      <alignment horizontal="left" vertical="top" wrapText="1"/>
    </xf>
    <xf numFmtId="0" fontId="9" fillId="0" borderId="31" xfId="0" applyFont="1" applyBorder="1" applyAlignment="1">
      <alignment vertical="top" wrapText="1"/>
    </xf>
    <xf numFmtId="0" fontId="10" fillId="0" borderId="16" xfId="0" applyFont="1" applyBorder="1" applyAlignment="1">
      <alignment horizontal="left" vertical="top" wrapText="1" indent="2"/>
    </xf>
    <xf numFmtId="0" fontId="10" fillId="0" borderId="17" xfId="0" applyFont="1" applyBorder="1" applyAlignment="1">
      <alignment horizontal="left" vertical="top" wrapText="1" indent="2"/>
    </xf>
    <xf numFmtId="0" fontId="10" fillId="0" borderId="18" xfId="0" applyFont="1" applyBorder="1" applyAlignment="1">
      <alignment horizontal="left" vertical="top" wrapText="1" indent="2"/>
    </xf>
    <xf numFmtId="0" fontId="0" fillId="0" borderId="18" xfId="0" applyBorder="1" applyAlignment="1">
      <alignment horizontal="center" vertical="center" wrapText="1"/>
    </xf>
    <xf numFmtId="0" fontId="8" fillId="9" borderId="42" xfId="0" applyFont="1" applyFill="1" applyBorder="1" applyAlignment="1">
      <alignment horizontal="center" wrapText="1"/>
    </xf>
    <xf numFmtId="0" fontId="8" fillId="9" borderId="43" xfId="0" applyFont="1" applyFill="1" applyBorder="1" applyAlignment="1">
      <alignment horizontal="center" wrapText="1"/>
    </xf>
    <xf numFmtId="0" fontId="8" fillId="9" borderId="43" xfId="0" applyFont="1" applyFill="1" applyBorder="1" applyAlignment="1">
      <alignment horizontal="center"/>
    </xf>
    <xf numFmtId="0" fontId="8" fillId="9" borderId="142" xfId="0" applyFont="1" applyFill="1" applyBorder="1" applyAlignment="1">
      <alignment horizontal="center" wrapText="1"/>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0" xfId="0" applyAlignment="1">
      <alignment horizontal="center" vertical="center"/>
    </xf>
    <xf numFmtId="0" fontId="0" fillId="0" borderId="5" xfId="0" applyBorder="1" applyAlignment="1">
      <alignment horizontal="center" vertical="center"/>
    </xf>
    <xf numFmtId="0" fontId="0" fillId="0" borderId="19" xfId="0" applyBorder="1"/>
    <xf numFmtId="0" fontId="0" fillId="0" borderId="20" xfId="0" applyBorder="1"/>
    <xf numFmtId="0" fontId="0" fillId="0" borderId="21" xfId="0" applyBorder="1"/>
    <xf numFmtId="0" fontId="33" fillId="8" borderId="2" xfId="0" applyFont="1" applyFill="1" applyBorder="1" applyAlignment="1">
      <alignment horizontal="center" vertical="center" wrapText="1"/>
    </xf>
    <xf numFmtId="0" fontId="10" fillId="8" borderId="2" xfId="0" applyFont="1" applyFill="1" applyBorder="1" applyAlignment="1">
      <alignment horizontal="center" vertical="center" wrapText="1"/>
    </xf>
    <xf numFmtId="0" fontId="0" fillId="8" borderId="3" xfId="0" applyFill="1" applyBorder="1" applyAlignment="1">
      <alignment horizontal="center" vertical="center" wrapText="1"/>
    </xf>
    <xf numFmtId="0" fontId="10" fillId="8" borderId="0" xfId="0" applyFont="1" applyFill="1" applyAlignment="1">
      <alignment horizontal="center" vertical="center" wrapText="1"/>
    </xf>
    <xf numFmtId="0" fontId="0" fillId="8" borderId="5" xfId="0" applyFill="1" applyBorder="1" applyAlignment="1">
      <alignment horizontal="center" vertical="center" wrapText="1"/>
    </xf>
    <xf numFmtId="0" fontId="10" fillId="4" borderId="1" xfId="0" applyFont="1" applyFill="1" applyBorder="1" applyAlignment="1">
      <alignment horizontal="right" vertical="center" shrinkToFit="1" readingOrder="1"/>
    </xf>
    <xf numFmtId="0" fontId="0" fillId="0" borderId="2" xfId="0" applyBorder="1" applyAlignment="1">
      <alignment horizontal="right" vertical="center" shrinkToFit="1" readingOrder="1"/>
    </xf>
    <xf numFmtId="0" fontId="30" fillId="0" borderId="36" xfId="0" applyFont="1" applyBorder="1" applyAlignment="1">
      <alignment horizontal="left" vertical="center" indent="1" shrinkToFit="1" readingOrder="1"/>
    </xf>
    <xf numFmtId="0" fontId="30" fillId="0" borderId="23" xfId="0" applyFont="1" applyBorder="1" applyAlignment="1">
      <alignment horizontal="left" vertical="center" indent="1" shrinkToFit="1" readingOrder="1"/>
    </xf>
    <xf numFmtId="0" fontId="30" fillId="0" borderId="24" xfId="0" applyFont="1" applyBorder="1" applyAlignment="1">
      <alignment horizontal="left" vertical="center" indent="1" shrinkToFit="1" readingOrder="1"/>
    </xf>
    <xf numFmtId="0" fontId="10" fillId="4" borderId="16" xfId="0" applyFont="1" applyFill="1" applyBorder="1" applyAlignment="1">
      <alignment horizontal="center" vertical="center" shrinkToFit="1"/>
    </xf>
    <xf numFmtId="0" fontId="10" fillId="4" borderId="17" xfId="0" applyFont="1" applyFill="1" applyBorder="1" applyAlignment="1">
      <alignment horizontal="center" vertical="center" shrinkToFit="1"/>
    </xf>
    <xf numFmtId="0" fontId="10" fillId="4" borderId="18" xfId="0" applyFont="1" applyFill="1" applyBorder="1" applyAlignment="1">
      <alignment horizontal="center" vertical="center" shrinkToFit="1"/>
    </xf>
    <xf numFmtId="0" fontId="10" fillId="0" borderId="137" xfId="0" applyFont="1" applyBorder="1" applyAlignment="1">
      <alignment horizontal="left" vertical="center" indent="1" shrinkToFit="1"/>
    </xf>
    <xf numFmtId="0" fontId="10" fillId="0" borderId="65" xfId="0" applyFont="1" applyBorder="1" applyAlignment="1">
      <alignment horizontal="left" vertical="center" indent="1" shrinkToFit="1"/>
    </xf>
    <xf numFmtId="37" fontId="30" fillId="0" borderId="65" xfId="0" applyNumberFormat="1" applyFont="1" applyBorder="1" applyAlignment="1">
      <alignment horizontal="center" vertical="center" shrinkToFit="1"/>
    </xf>
    <xf numFmtId="37" fontId="30" fillId="0" borderId="66" xfId="0" applyNumberFormat="1" applyFont="1" applyBorder="1" applyAlignment="1">
      <alignment horizontal="center" vertical="center" shrinkToFit="1"/>
    </xf>
    <xf numFmtId="0" fontId="10" fillId="4" borderId="16" xfId="0" applyFont="1" applyFill="1" applyBorder="1" applyAlignment="1">
      <alignment horizontal="left" vertical="center" indent="2" shrinkToFit="1"/>
    </xf>
    <xf numFmtId="0" fontId="10" fillId="4" borderId="17" xfId="0" applyFont="1" applyFill="1" applyBorder="1" applyAlignment="1">
      <alignment horizontal="left" vertical="center" indent="2" shrinkToFit="1"/>
    </xf>
    <xf numFmtId="0" fontId="10" fillId="4" borderId="18" xfId="0" applyFont="1" applyFill="1" applyBorder="1" applyAlignment="1">
      <alignment horizontal="left" vertical="center" indent="2" shrinkToFit="1"/>
    </xf>
    <xf numFmtId="0" fontId="10" fillId="4" borderId="125" xfId="0" applyFont="1" applyFill="1" applyBorder="1" applyAlignment="1">
      <alignment horizontal="left" vertical="center" indent="2" shrinkToFit="1"/>
    </xf>
    <xf numFmtId="0" fontId="10" fillId="4" borderId="126" xfId="0" applyFont="1" applyFill="1" applyBorder="1" applyAlignment="1">
      <alignment horizontal="left" vertical="center" indent="2" shrinkToFit="1"/>
    </xf>
    <xf numFmtId="0" fontId="10" fillId="4" borderId="127" xfId="0" applyFont="1" applyFill="1" applyBorder="1" applyAlignment="1">
      <alignment horizontal="left" vertical="center" indent="2" shrinkToFit="1"/>
    </xf>
    <xf numFmtId="0" fontId="0" fillId="0" borderId="128" xfId="0" applyBorder="1" applyAlignment="1">
      <alignment horizontal="left" vertical="top"/>
    </xf>
    <xf numFmtId="0" fontId="0" fillId="0" borderId="132" xfId="0" applyBorder="1" applyAlignment="1">
      <alignment horizontal="left" vertical="top"/>
    </xf>
    <xf numFmtId="0" fontId="0" fillId="0" borderId="129" xfId="0" applyBorder="1" applyAlignment="1">
      <alignment horizontal="left" vertical="top"/>
    </xf>
    <xf numFmtId="0" fontId="48" fillId="12" borderId="128" xfId="0" applyFont="1" applyFill="1" applyBorder="1" applyAlignment="1">
      <alignment horizontal="left" vertical="center" wrapText="1" indent="1"/>
    </xf>
    <xf numFmtId="0" fontId="48" fillId="12" borderId="132" xfId="0" applyFont="1" applyFill="1" applyBorder="1" applyAlignment="1">
      <alignment horizontal="left" vertical="center" wrapText="1" indent="1"/>
    </xf>
    <xf numFmtId="0" fontId="48" fillId="12" borderId="129" xfId="0" applyFont="1" applyFill="1" applyBorder="1" applyAlignment="1">
      <alignment horizontal="left" vertical="center" wrapText="1" indent="1"/>
    </xf>
    <xf numFmtId="0" fontId="48" fillId="12" borderId="19" xfId="0" applyFont="1" applyFill="1" applyBorder="1" applyAlignment="1">
      <alignment horizontal="left" vertical="center" wrapText="1" indent="1"/>
    </xf>
    <xf numFmtId="0" fontId="48" fillId="12" borderId="20" xfId="0" applyFont="1" applyFill="1" applyBorder="1" applyAlignment="1">
      <alignment horizontal="left" vertical="center" wrapText="1" indent="1"/>
    </xf>
    <xf numFmtId="0" fontId="48" fillId="12" borderId="21" xfId="0" applyFont="1" applyFill="1" applyBorder="1" applyAlignment="1">
      <alignment horizontal="left" vertical="center" wrapText="1" indent="1"/>
    </xf>
    <xf numFmtId="0" fontId="24" fillId="0" borderId="16" xfId="0" applyFont="1" applyBorder="1" applyAlignment="1">
      <alignment horizontal="right" vertical="top" wrapText="1" shrinkToFit="1"/>
    </xf>
    <xf numFmtId="0" fontId="24" fillId="0" borderId="17" xfId="0" applyFont="1" applyBorder="1" applyAlignment="1">
      <alignment horizontal="right" vertical="top" shrinkToFit="1"/>
    </xf>
    <xf numFmtId="0" fontId="24" fillId="0" borderId="18" xfId="0" applyFont="1" applyBorder="1" applyAlignment="1">
      <alignment horizontal="right" vertical="top" shrinkToFit="1"/>
    </xf>
    <xf numFmtId="0" fontId="18" fillId="4" borderId="4" xfId="0" applyFont="1" applyFill="1" applyBorder="1" applyAlignment="1">
      <alignment horizontal="right" vertical="center" wrapText="1" readingOrder="1"/>
    </xf>
    <xf numFmtId="0" fontId="18" fillId="0" borderId="0" xfId="0" applyFont="1" applyAlignment="1">
      <alignment horizontal="right" vertical="center" wrapText="1" readingOrder="1"/>
    </xf>
    <xf numFmtId="0" fontId="18" fillId="0" borderId="4" xfId="0" applyFont="1" applyBorder="1" applyAlignment="1">
      <alignment horizontal="right" vertical="center" wrapText="1" readingOrder="1"/>
    </xf>
    <xf numFmtId="0" fontId="30" fillId="0" borderId="38" xfId="0" applyFont="1" applyBorder="1" applyAlignment="1">
      <alignment horizontal="left" vertical="center" indent="1" shrinkToFit="1" readingOrder="1"/>
    </xf>
    <xf numFmtId="0" fontId="30" fillId="0" borderId="26" xfId="0" applyFont="1" applyBorder="1" applyAlignment="1">
      <alignment horizontal="left" vertical="center" indent="1" shrinkToFit="1" readingOrder="1"/>
    </xf>
    <xf numFmtId="0" fontId="30" fillId="0" borderId="27" xfId="0" applyFont="1" applyBorder="1" applyAlignment="1">
      <alignment horizontal="left" vertical="center" indent="1" shrinkToFit="1" readingOrder="1"/>
    </xf>
    <xf numFmtId="0" fontId="10" fillId="0" borderId="9" xfId="0" applyFont="1" applyBorder="1" applyAlignment="1">
      <alignment horizontal="left" vertical="center" indent="1" shrinkToFit="1"/>
    </xf>
    <xf numFmtId="0" fontId="10" fillId="0" borderId="10" xfId="0" applyFont="1" applyBorder="1" applyAlignment="1">
      <alignment horizontal="left" vertical="center" indent="1" shrinkToFit="1"/>
    </xf>
    <xf numFmtId="37" fontId="30" fillId="0" borderId="36" xfId="0" applyNumberFormat="1" applyFont="1" applyBorder="1" applyAlignment="1">
      <alignment horizontal="center" vertical="center" shrinkToFit="1"/>
    </xf>
    <xf numFmtId="37" fontId="30" fillId="0" borderId="24" xfId="0" applyNumberFormat="1" applyFont="1" applyBorder="1" applyAlignment="1">
      <alignment horizontal="center" vertical="center" shrinkToFit="1"/>
    </xf>
    <xf numFmtId="0" fontId="30" fillId="0" borderId="44" xfId="0" applyFont="1" applyBorder="1" applyAlignment="1">
      <alignment horizontal="left" vertical="center" indent="1" shrinkToFit="1" readingOrder="1"/>
    </xf>
    <xf numFmtId="0" fontId="30" fillId="0" borderId="45" xfId="0" applyFont="1" applyBorder="1" applyAlignment="1">
      <alignment horizontal="left" vertical="center" indent="1" shrinkToFit="1" readingOrder="1"/>
    </xf>
    <xf numFmtId="0" fontId="30" fillId="0" borderId="46" xfId="0" applyFont="1" applyBorder="1" applyAlignment="1">
      <alignment horizontal="left" vertical="center" indent="1" shrinkToFit="1" readingOrder="1"/>
    </xf>
    <xf numFmtId="0" fontId="10" fillId="0" borderId="57" xfId="0" applyFont="1" applyBorder="1" applyAlignment="1">
      <alignment horizontal="left" vertical="center" indent="1" shrinkToFit="1"/>
    </xf>
    <xf numFmtId="0" fontId="10" fillId="0" borderId="56" xfId="0" applyFont="1" applyBorder="1" applyAlignment="1">
      <alignment horizontal="left" vertical="center" indent="1" shrinkToFit="1"/>
    </xf>
    <xf numFmtId="3" fontId="30" fillId="0" borderId="44" xfId="0" applyNumberFormat="1" applyFont="1" applyBorder="1" applyAlignment="1">
      <alignment horizontal="center" vertical="center" shrinkToFit="1"/>
    </xf>
    <xf numFmtId="3" fontId="30" fillId="0" borderId="46" xfId="0" applyNumberFormat="1" applyFont="1" applyBorder="1" applyAlignment="1">
      <alignment horizontal="center" vertical="center" shrinkToFit="1"/>
    </xf>
    <xf numFmtId="0" fontId="0" fillId="4" borderId="2" xfId="0" applyFill="1" applyBorder="1" applyAlignment="1">
      <alignment horizontal="center" vertical="center" shrinkToFit="1"/>
    </xf>
    <xf numFmtId="0" fontId="0" fillId="4" borderId="3" xfId="0" applyFill="1" applyBorder="1" applyAlignment="1">
      <alignment horizontal="center" vertical="center" shrinkToFit="1"/>
    </xf>
    <xf numFmtId="0" fontId="0" fillId="0" borderId="20" xfId="0" applyBorder="1" applyAlignment="1">
      <alignment horizontal="center" vertical="center" shrinkToFit="1"/>
    </xf>
    <xf numFmtId="0" fontId="0" fillId="0" borderId="21" xfId="0" applyBorder="1" applyAlignment="1">
      <alignment horizontal="center" vertical="center" shrinkToFit="1"/>
    </xf>
    <xf numFmtId="0" fontId="10" fillId="0" borderId="147" xfId="0" applyFont="1" applyBorder="1" applyAlignment="1">
      <alignment horizontal="left" vertical="center" indent="1" shrinkToFit="1"/>
    </xf>
    <xf numFmtId="0" fontId="10" fillId="0" borderId="148" xfId="0" applyFont="1" applyBorder="1" applyAlignment="1">
      <alignment horizontal="left" vertical="center" indent="1" shrinkToFit="1"/>
    </xf>
    <xf numFmtId="167" fontId="30" fillId="12" borderId="14" xfId="0" applyNumberFormat="1" applyFont="1" applyFill="1" applyBorder="1" applyAlignment="1">
      <alignment horizontal="center" vertical="center" shrinkToFit="1"/>
    </xf>
    <xf numFmtId="167" fontId="30" fillId="12" borderId="15" xfId="0" applyNumberFormat="1" applyFont="1" applyFill="1" applyBorder="1" applyAlignment="1">
      <alignment horizontal="center" vertical="center" shrinkToFit="1"/>
    </xf>
    <xf numFmtId="0" fontId="25" fillId="11" borderId="16" xfId="0" applyFont="1" applyFill="1" applyBorder="1" applyAlignment="1">
      <alignment vertical="center" wrapText="1"/>
    </xf>
    <xf numFmtId="0" fontId="25" fillId="11" borderId="17" xfId="0" applyFont="1" applyFill="1" applyBorder="1" applyAlignment="1">
      <alignment vertical="center" wrapText="1"/>
    </xf>
    <xf numFmtId="0" fontId="25" fillId="11" borderId="18" xfId="0" applyFont="1" applyFill="1" applyBorder="1" applyAlignment="1">
      <alignment vertical="center" wrapText="1"/>
    </xf>
    <xf numFmtId="0" fontId="8" fillId="11" borderId="32" xfId="0" applyFont="1" applyFill="1" applyBorder="1" applyAlignment="1">
      <alignment vertical="center"/>
    </xf>
    <xf numFmtId="0" fontId="45" fillId="31" borderId="16" xfId="0" applyFont="1" applyFill="1" applyBorder="1" applyAlignment="1">
      <alignment horizontal="left" vertical="top" wrapText="1" indent="1"/>
    </xf>
    <xf numFmtId="0" fontId="45" fillId="31" borderId="17" xfId="0" applyFont="1" applyFill="1" applyBorder="1" applyAlignment="1">
      <alignment horizontal="left" vertical="top" wrapText="1" indent="1"/>
    </xf>
    <xf numFmtId="0" fontId="45" fillId="31" borderId="18" xfId="0" applyFont="1" applyFill="1" applyBorder="1" applyAlignment="1">
      <alignment horizontal="left" vertical="top" wrapText="1" indent="1"/>
    </xf>
    <xf numFmtId="0" fontId="8" fillId="9" borderId="130" xfId="0" applyFont="1" applyFill="1" applyBorder="1" applyAlignment="1">
      <alignment horizontal="center" vertical="center"/>
    </xf>
    <xf numFmtId="0" fontId="11" fillId="9" borderId="131" xfId="0" applyFont="1" applyFill="1" applyBorder="1" applyAlignment="1">
      <alignment horizontal="center" vertical="center"/>
    </xf>
    <xf numFmtId="49" fontId="0" fillId="0" borderId="128" xfId="0" applyNumberFormat="1" applyBorder="1" applyAlignment="1">
      <alignment horizontal="left" vertical="center" wrapText="1" indent="1"/>
    </xf>
    <xf numFmtId="49" fontId="0" fillId="0" borderId="132" xfId="0" applyNumberFormat="1" applyBorder="1" applyAlignment="1">
      <alignment horizontal="left" vertical="center" wrapText="1" indent="1"/>
    </xf>
    <xf numFmtId="49" fontId="0" fillId="0" borderId="129" xfId="0" applyNumberFormat="1" applyBorder="1" applyAlignment="1">
      <alignment horizontal="left" vertical="center" wrapText="1" indent="1"/>
    </xf>
    <xf numFmtId="49" fontId="0" fillId="0" borderId="4" xfId="0" applyNumberFormat="1" applyBorder="1" applyAlignment="1">
      <alignment horizontal="left" vertical="center" wrapText="1" indent="1"/>
    </xf>
    <xf numFmtId="49" fontId="0" fillId="0" borderId="0" xfId="0" applyNumberFormat="1" applyAlignment="1">
      <alignment horizontal="left" vertical="center" wrapText="1" indent="1"/>
    </xf>
    <xf numFmtId="49" fontId="0" fillId="0" borderId="5" xfId="0" applyNumberFormat="1" applyBorder="1" applyAlignment="1">
      <alignment horizontal="left" vertical="center" wrapText="1" indent="1"/>
    </xf>
    <xf numFmtId="49" fontId="0" fillId="0" borderId="123" xfId="0" applyNumberFormat="1" applyBorder="1" applyAlignment="1">
      <alignment horizontal="left" vertical="center" wrapText="1" indent="1"/>
    </xf>
    <xf numFmtId="49" fontId="0" fillId="0" borderId="101" xfId="0" applyNumberFormat="1" applyBorder="1" applyAlignment="1">
      <alignment horizontal="left" vertical="center" wrapText="1" indent="1"/>
    </xf>
    <xf numFmtId="49" fontId="0" fillId="0" borderId="124" xfId="0" applyNumberFormat="1" applyBorder="1" applyAlignment="1">
      <alignment horizontal="left" vertical="center" wrapText="1" indent="1"/>
    </xf>
    <xf numFmtId="0" fontId="10" fillId="4" borderId="31" xfId="0" applyFont="1" applyFill="1" applyBorder="1" applyAlignment="1">
      <alignment vertical="center" shrinkToFit="1"/>
    </xf>
    <xf numFmtId="49" fontId="50" fillId="11" borderId="128" xfId="0" applyNumberFormat="1" applyFont="1" applyFill="1" applyBorder="1" applyAlignment="1">
      <alignment horizontal="center" vertical="center" wrapText="1"/>
    </xf>
    <xf numFmtId="49" fontId="11" fillId="0" borderId="129" xfId="0" applyNumberFormat="1" applyFont="1" applyBorder="1" applyAlignment="1">
      <alignment horizontal="center" vertical="center" wrapText="1"/>
    </xf>
    <xf numFmtId="49" fontId="11" fillId="0" borderId="4" xfId="0" applyNumberFormat="1" applyFont="1" applyBorder="1" applyAlignment="1">
      <alignment horizontal="center" vertical="center" wrapText="1"/>
    </xf>
    <xf numFmtId="49" fontId="11" fillId="0" borderId="5" xfId="0" applyNumberFormat="1" applyFont="1" applyBorder="1" applyAlignment="1">
      <alignment horizontal="center" vertical="center" wrapText="1"/>
    </xf>
    <xf numFmtId="49" fontId="11" fillId="0" borderId="123" xfId="0" applyNumberFormat="1" applyFont="1" applyBorder="1" applyAlignment="1">
      <alignment horizontal="center" vertical="center" wrapText="1"/>
    </xf>
    <xf numFmtId="49" fontId="11" fillId="0" borderId="124" xfId="0" applyNumberFormat="1" applyFont="1" applyBorder="1" applyAlignment="1">
      <alignment horizontal="center" vertical="center" wrapText="1"/>
    </xf>
    <xf numFmtId="0" fontId="0" fillId="0" borderId="4" xfId="0" applyBorder="1"/>
    <xf numFmtId="49" fontId="0" fillId="0" borderId="1" xfId="0" applyNumberFormat="1" applyBorder="1" applyAlignment="1">
      <alignment horizontal="left" vertical="top" wrapText="1"/>
    </xf>
    <xf numFmtId="49" fontId="0" fillId="0" borderId="2" xfId="0" applyNumberFormat="1" applyBorder="1"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49" fontId="0" fillId="0" borderId="2" xfId="0" applyNumberFormat="1" applyBorder="1" applyAlignment="1">
      <alignment horizontal="left" vertical="center" wrapText="1" indent="1"/>
    </xf>
    <xf numFmtId="49" fontId="0" fillId="0" borderId="3" xfId="0" applyNumberFormat="1" applyBorder="1" applyAlignment="1">
      <alignment horizontal="left" vertical="center" wrapText="1" indent="1"/>
    </xf>
    <xf numFmtId="49" fontId="0" fillId="0" borderId="19" xfId="0" applyNumberFormat="1" applyBorder="1" applyAlignment="1">
      <alignment horizontal="left" vertical="center" wrapText="1" indent="1"/>
    </xf>
    <xf numFmtId="49" fontId="0" fillId="0" borderId="20" xfId="0" applyNumberFormat="1" applyBorder="1" applyAlignment="1">
      <alignment horizontal="left" vertical="center" wrapText="1" indent="1"/>
    </xf>
    <xf numFmtId="49" fontId="0" fillId="0" borderId="21" xfId="0" applyNumberFormat="1" applyBorder="1" applyAlignment="1">
      <alignment horizontal="left" vertical="center" wrapText="1" indent="1"/>
    </xf>
    <xf numFmtId="0" fontId="10" fillId="0" borderId="31" xfId="0" applyFont="1" applyBorder="1" applyAlignment="1">
      <alignment horizontal="right" vertical="top"/>
    </xf>
    <xf numFmtId="0" fontId="0" fillId="0" borderId="31" xfId="0" applyBorder="1" applyAlignment="1">
      <alignment horizontal="right" vertical="top"/>
    </xf>
    <xf numFmtId="49" fontId="10" fillId="0" borderId="31" xfId="0" applyNumberFormat="1" applyFont="1" applyBorder="1" applyAlignment="1">
      <alignment horizontal="right" vertical="top" wrapText="1"/>
    </xf>
    <xf numFmtId="0" fontId="10" fillId="0" borderId="1" xfId="0" applyFont="1" applyBorder="1" applyAlignment="1">
      <alignment horizontal="left" vertical="top" wrapText="1"/>
    </xf>
    <xf numFmtId="0" fontId="10" fillId="0" borderId="2" xfId="0" applyFont="1" applyBorder="1" applyAlignment="1">
      <alignment horizontal="left" vertical="top" wrapText="1"/>
    </xf>
    <xf numFmtId="0" fontId="10" fillId="0" borderId="3" xfId="0" applyFont="1" applyBorder="1" applyAlignment="1">
      <alignment horizontal="left" vertical="top" wrapText="1"/>
    </xf>
    <xf numFmtId="0" fontId="10" fillId="0" borderId="4" xfId="0" applyFont="1" applyBorder="1" applyAlignment="1">
      <alignment horizontal="left" vertical="top" wrapText="1"/>
    </xf>
    <xf numFmtId="0" fontId="10" fillId="0" borderId="0" xfId="0" applyFont="1" applyAlignment="1">
      <alignment horizontal="left" vertical="top" wrapText="1"/>
    </xf>
    <xf numFmtId="0" fontId="10" fillId="0" borderId="5" xfId="0" applyFont="1" applyBorder="1" applyAlignment="1">
      <alignment horizontal="left" vertical="top" wrapText="1"/>
    </xf>
    <xf numFmtId="0" fontId="0" fillId="12" borderId="31" xfId="0" applyFill="1" applyBorder="1" applyAlignment="1">
      <alignment horizontal="center" vertical="center" wrapText="1"/>
    </xf>
    <xf numFmtId="0" fontId="0" fillId="12" borderId="31" xfId="0" applyFill="1" applyBorder="1" applyAlignment="1">
      <alignment horizontal="center" wrapText="1"/>
    </xf>
    <xf numFmtId="0" fontId="21" fillId="0" borderId="1" xfId="0" applyFont="1" applyBorder="1" applyAlignment="1">
      <alignment horizontal="left" vertical="center" wrapText="1" indent="1"/>
    </xf>
    <xf numFmtId="0" fontId="21" fillId="0" borderId="2" xfId="0" applyFont="1" applyBorder="1" applyAlignment="1">
      <alignment horizontal="left" vertical="center" wrapText="1" indent="1"/>
    </xf>
    <xf numFmtId="0" fontId="21" fillId="0" borderId="3" xfId="0" applyFont="1" applyBorder="1" applyAlignment="1">
      <alignment horizontal="left" vertical="center" wrapText="1" indent="1"/>
    </xf>
    <xf numFmtId="0" fontId="21" fillId="0" borderId="4" xfId="0" applyFont="1" applyBorder="1" applyAlignment="1">
      <alignment horizontal="left" vertical="center" wrapText="1" indent="1"/>
    </xf>
    <xf numFmtId="0" fontId="21" fillId="0" borderId="0" xfId="0" applyFont="1" applyAlignment="1">
      <alignment horizontal="left" vertical="center" wrapText="1" indent="1"/>
    </xf>
    <xf numFmtId="0" fontId="21" fillId="0" borderId="5" xfId="0" applyFont="1" applyBorder="1" applyAlignment="1">
      <alignment horizontal="left" vertical="center" wrapText="1" indent="1"/>
    </xf>
    <xf numFmtId="0" fontId="21" fillId="0" borderId="19" xfId="0" applyFont="1" applyBorder="1" applyAlignment="1">
      <alignment horizontal="left" vertical="center" wrapText="1" indent="1"/>
    </xf>
    <xf numFmtId="0" fontId="21" fillId="0" borderId="20" xfId="0" applyFont="1" applyBorder="1" applyAlignment="1">
      <alignment horizontal="left" vertical="center" wrapText="1" indent="1"/>
    </xf>
    <xf numFmtId="0" fontId="21" fillId="0" borderId="21" xfId="0" applyFont="1" applyBorder="1" applyAlignment="1">
      <alignment horizontal="left" vertical="center" wrapText="1" indent="1"/>
    </xf>
    <xf numFmtId="0" fontId="11" fillId="12" borderId="19" xfId="0" applyFont="1" applyFill="1" applyBorder="1" applyAlignment="1">
      <alignment vertical="center" shrinkToFit="1"/>
    </xf>
    <xf numFmtId="0" fontId="11" fillId="12" borderId="20" xfId="0" applyFont="1" applyFill="1" applyBorder="1" applyAlignment="1">
      <alignment vertical="center" shrinkToFit="1"/>
    </xf>
    <xf numFmtId="0" fontId="8" fillId="11" borderId="31" xfId="0" applyFont="1" applyFill="1" applyBorder="1" applyAlignment="1">
      <alignment vertical="center"/>
    </xf>
    <xf numFmtId="0" fontId="11" fillId="0" borderId="32" xfId="0" applyFont="1" applyBorder="1"/>
    <xf numFmtId="49" fontId="10" fillId="0" borderId="19" xfId="0" applyNumberFormat="1" applyFont="1" applyBorder="1" applyAlignment="1">
      <alignment vertical="top" wrapText="1"/>
    </xf>
    <xf numFmtId="49" fontId="0" fillId="0" borderId="20" xfId="0" applyNumberFormat="1" applyBorder="1" applyAlignment="1">
      <alignment vertical="top" wrapText="1"/>
    </xf>
    <xf numFmtId="0" fontId="0" fillId="0" borderId="20" xfId="0" applyBorder="1" applyAlignment="1">
      <alignment vertical="top" wrapText="1"/>
    </xf>
    <xf numFmtId="0" fontId="0" fillId="0" borderId="21" xfId="0" applyBorder="1" applyAlignment="1">
      <alignment vertical="top" wrapText="1"/>
    </xf>
    <xf numFmtId="0" fontId="15" fillId="12" borderId="1" xfId="0" applyFont="1" applyFill="1" applyBorder="1" applyAlignment="1">
      <alignment horizontal="center" vertical="center" wrapText="1"/>
    </xf>
    <xf numFmtId="0" fontId="0" fillId="12" borderId="2" xfId="0" applyFill="1" applyBorder="1" applyAlignment="1">
      <alignment horizontal="center" vertical="center" wrapText="1"/>
    </xf>
    <xf numFmtId="0" fontId="0" fillId="12" borderId="3" xfId="0" applyFill="1" applyBorder="1" applyAlignment="1">
      <alignment horizontal="center" vertical="center" wrapText="1"/>
    </xf>
    <xf numFmtId="0" fontId="0" fillId="12" borderId="4" xfId="0" applyFill="1" applyBorder="1" applyAlignment="1">
      <alignment horizontal="center" vertical="center" wrapText="1"/>
    </xf>
    <xf numFmtId="0" fontId="0" fillId="12" borderId="0" xfId="0" applyFill="1" applyAlignment="1">
      <alignment horizontal="center" vertical="center" wrapText="1"/>
    </xf>
    <xf numFmtId="0" fontId="0" fillId="12" borderId="5" xfId="0" applyFill="1" applyBorder="1" applyAlignment="1">
      <alignment horizontal="center" vertical="center" wrapText="1"/>
    </xf>
    <xf numFmtId="0" fontId="0" fillId="12" borderId="19" xfId="0" applyFill="1" applyBorder="1" applyAlignment="1">
      <alignment horizontal="center" vertical="center" wrapText="1"/>
    </xf>
    <xf numFmtId="0" fontId="0" fillId="12" borderId="20" xfId="0" applyFill="1" applyBorder="1" applyAlignment="1">
      <alignment horizontal="center" vertical="center" wrapText="1"/>
    </xf>
    <xf numFmtId="0" fontId="0" fillId="12" borderId="21" xfId="0" applyFill="1" applyBorder="1" applyAlignment="1">
      <alignment horizontal="center" vertical="center" wrapText="1"/>
    </xf>
    <xf numFmtId="0" fontId="21" fillId="0" borderId="16" xfId="0" applyFont="1" applyBorder="1" applyAlignment="1">
      <alignment horizontal="left" vertical="center" indent="1"/>
    </xf>
    <xf numFmtId="0" fontId="21" fillId="0" borderId="17" xfId="0" applyFont="1" applyBorder="1" applyAlignment="1">
      <alignment horizontal="left" vertical="center" indent="1"/>
    </xf>
    <xf numFmtId="0" fontId="0" fillId="0" borderId="31" xfId="0" applyBorder="1" applyAlignment="1">
      <alignment horizontal="center" vertical="center"/>
    </xf>
    <xf numFmtId="0" fontId="0" fillId="0" borderId="16" xfId="0" applyBorder="1" applyAlignment="1">
      <alignment horizontal="center" vertical="center"/>
    </xf>
    <xf numFmtId="0" fontId="0" fillId="0" borderId="16" xfId="0" applyBorder="1" applyAlignment="1">
      <alignment horizontal="center" vertical="center" wrapText="1"/>
    </xf>
    <xf numFmtId="0" fontId="0" fillId="0" borderId="3" xfId="0" applyBorder="1" applyAlignment="1">
      <alignment horizontal="center"/>
    </xf>
    <xf numFmtId="0" fontId="0" fillId="0" borderId="5" xfId="0" applyBorder="1" applyAlignment="1">
      <alignment horizontal="center"/>
    </xf>
    <xf numFmtId="0" fontId="0" fillId="29" borderId="18" xfId="0" applyFill="1" applyBorder="1" applyAlignment="1">
      <alignment horizontal="left" vertical="top" wrapText="1" indent="1"/>
    </xf>
    <xf numFmtId="0" fontId="0" fillId="29" borderId="31" xfId="0" applyFill="1" applyBorder="1" applyAlignment="1">
      <alignment horizontal="left" vertical="top" wrapText="1" indent="1"/>
    </xf>
    <xf numFmtId="0" fontId="29" fillId="8" borderId="16" xfId="0" applyFont="1" applyFill="1" applyBorder="1" applyAlignment="1" applyProtection="1">
      <alignment horizontal="left" vertical="center" indent="1"/>
      <protection locked="0"/>
    </xf>
    <xf numFmtId="0" fontId="29" fillId="8" borderId="17" xfId="0" applyFont="1" applyFill="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2" fontId="29" fillId="0" borderId="16" xfId="0" applyNumberFormat="1" applyFont="1" applyBorder="1" applyAlignment="1">
      <alignment horizontal="left" vertical="center" indent="1"/>
    </xf>
    <xf numFmtId="2" fontId="29" fillId="0" borderId="17" xfId="0" applyNumberFormat="1" applyFont="1" applyBorder="1" applyAlignment="1">
      <alignment horizontal="left" vertical="center" indent="1"/>
    </xf>
    <xf numFmtId="2" fontId="10" fillId="0" borderId="18" xfId="0" applyNumberFormat="1" applyFont="1" applyBorder="1" applyAlignment="1">
      <alignment horizontal="left" vertical="center" indent="1"/>
    </xf>
    <xf numFmtId="0" fontId="0" fillId="8" borderId="4" xfId="0" applyFill="1" applyBorder="1" applyAlignment="1" applyProtection="1">
      <alignment horizontal="left" vertical="center" wrapText="1" indent="1"/>
      <protection locked="0"/>
    </xf>
    <xf numFmtId="0" fontId="0" fillId="8" borderId="0" xfId="0" applyFill="1" applyAlignment="1" applyProtection="1">
      <alignment horizontal="left" vertical="center" wrapText="1" indent="1"/>
      <protection locked="0"/>
    </xf>
    <xf numFmtId="0" fontId="0" fillId="8" borderId="5" xfId="0" applyFill="1" applyBorder="1" applyAlignment="1" applyProtection="1">
      <alignment horizontal="left" vertical="center" wrapText="1" indent="1"/>
      <protection locked="0"/>
    </xf>
    <xf numFmtId="0" fontId="8" fillId="11" borderId="4" xfId="0" applyFont="1" applyFill="1" applyBorder="1" applyAlignment="1">
      <alignment vertical="center"/>
    </xf>
    <xf numFmtId="0" fontId="8" fillId="11" borderId="0" xfId="0" applyFont="1" applyFill="1" applyAlignment="1">
      <alignment vertical="center"/>
    </xf>
    <xf numFmtId="0" fontId="8" fillId="11" borderId="5" xfId="0" applyFont="1" applyFill="1" applyBorder="1" applyAlignment="1">
      <alignment vertical="center"/>
    </xf>
    <xf numFmtId="0" fontId="0" fillId="0" borderId="16" xfId="0" applyBorder="1" applyAlignment="1">
      <alignment horizontal="left" vertical="top" wrapText="1" indent="1"/>
    </xf>
    <xf numFmtId="49" fontId="0" fillId="8" borderId="4" xfId="0" applyNumberFormat="1" applyFill="1" applyBorder="1" applyAlignment="1" applyProtection="1">
      <alignment horizontal="left" vertical="top" wrapText="1" indent="1"/>
      <protection locked="0"/>
    </xf>
    <xf numFmtId="49" fontId="0" fillId="8" borderId="0" xfId="0" applyNumberFormat="1" applyFill="1" applyAlignment="1" applyProtection="1">
      <alignment horizontal="left" vertical="top" wrapText="1" indent="1"/>
      <protection locked="0"/>
    </xf>
    <xf numFmtId="49" fontId="0" fillId="8" borderId="5" xfId="0" applyNumberFormat="1" applyFill="1" applyBorder="1" applyAlignment="1" applyProtection="1">
      <alignment horizontal="left" vertical="top" wrapText="1" indent="1"/>
      <protection locked="0"/>
    </xf>
    <xf numFmtId="49" fontId="0" fillId="8" borderId="19" xfId="0" applyNumberFormat="1" applyFill="1" applyBorder="1" applyAlignment="1" applyProtection="1">
      <alignment horizontal="left" vertical="top" wrapText="1" indent="1"/>
      <protection locked="0"/>
    </xf>
    <xf numFmtId="49" fontId="0" fillId="8" borderId="20" xfId="0" applyNumberFormat="1" applyFill="1" applyBorder="1" applyAlignment="1" applyProtection="1">
      <alignment horizontal="left" vertical="top" wrapText="1" indent="1"/>
      <protection locked="0"/>
    </xf>
    <xf numFmtId="49" fontId="0" fillId="8" borderId="21" xfId="0" applyNumberFormat="1" applyFill="1" applyBorder="1" applyAlignment="1" applyProtection="1">
      <alignment horizontal="left" vertical="top" wrapText="1" indent="1"/>
      <protection locked="0"/>
    </xf>
    <xf numFmtId="0" fontId="10" fillId="0" borderId="1" xfId="0" applyFont="1" applyBorder="1" applyAlignment="1">
      <alignment horizontal="left" vertical="top" wrapText="1" indent="1"/>
    </xf>
    <xf numFmtId="0" fontId="10" fillId="0" borderId="2" xfId="0" applyFont="1" applyBorder="1" applyAlignment="1">
      <alignment horizontal="left" vertical="top" wrapText="1" indent="1"/>
    </xf>
    <xf numFmtId="0" fontId="10" fillId="0" borderId="3" xfId="0" applyFont="1" applyBorder="1" applyAlignment="1">
      <alignment horizontal="left" vertical="top" wrapText="1" indent="1"/>
    </xf>
    <xf numFmtId="0" fontId="10" fillId="0" borderId="19" xfId="0" applyFont="1" applyBorder="1" applyAlignment="1">
      <alignment horizontal="left" vertical="top" wrapText="1" indent="1"/>
    </xf>
    <xf numFmtId="0" fontId="10" fillId="0" borderId="20" xfId="0" applyFont="1" applyBorder="1" applyAlignment="1">
      <alignment horizontal="left" vertical="top" wrapText="1" indent="1"/>
    </xf>
    <xf numFmtId="0" fontId="10" fillId="0" borderId="21" xfId="0" applyFont="1" applyBorder="1" applyAlignment="1">
      <alignment horizontal="left" vertical="top" wrapText="1" inden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8" fillId="11" borderId="16" xfId="0" applyFont="1" applyFill="1" applyBorder="1" applyAlignment="1">
      <alignment horizontal="center" vertical="top"/>
    </xf>
    <xf numFmtId="0" fontId="36" fillId="11" borderId="16" xfId="0" applyFont="1" applyFill="1" applyBorder="1" applyAlignment="1">
      <alignment horizontal="center" vertical="top"/>
    </xf>
    <xf numFmtId="0" fontId="8" fillId="11" borderId="3" xfId="0" applyFont="1" applyFill="1" applyBorder="1"/>
    <xf numFmtId="0" fontId="21" fillId="0" borderId="16" xfId="0" applyFont="1" applyBorder="1" applyAlignment="1">
      <alignment horizontal="left" vertical="top" wrapText="1"/>
    </xf>
    <xf numFmtId="0" fontId="21" fillId="0" borderId="17" xfId="0" applyFont="1" applyBorder="1" applyAlignment="1">
      <alignment horizontal="left" vertical="top" wrapText="1"/>
    </xf>
    <xf numFmtId="0" fontId="21" fillId="0" borderId="18" xfId="0" applyFont="1" applyBorder="1" applyAlignment="1">
      <alignment horizontal="left" vertical="top" wrapText="1"/>
    </xf>
    <xf numFmtId="0" fontId="8" fillId="11" borderId="1" xfId="0" applyFont="1" applyFill="1" applyBorder="1" applyAlignment="1">
      <alignment vertical="center"/>
    </xf>
    <xf numFmtId="0" fontId="8" fillId="11" borderId="2" xfId="0" applyFont="1" applyFill="1" applyBorder="1" applyAlignment="1">
      <alignment vertical="center"/>
    </xf>
    <xf numFmtId="0" fontId="8" fillId="11" borderId="3" xfId="0" applyFont="1" applyFill="1" applyBorder="1" applyAlignment="1">
      <alignment vertical="center"/>
    </xf>
    <xf numFmtId="0" fontId="20" fillId="0" borderId="16" xfId="0" applyFont="1" applyBorder="1" applyAlignment="1">
      <alignment vertical="top" wrapText="1"/>
    </xf>
    <xf numFmtId="0" fontId="20" fillId="0" borderId="17" xfId="0" applyFont="1" applyBorder="1" applyAlignment="1">
      <alignment vertical="top" wrapText="1"/>
    </xf>
    <xf numFmtId="0" fontId="20" fillId="0" borderId="18" xfId="0" applyFont="1" applyBorder="1" applyAlignment="1">
      <alignment vertical="top" wrapText="1"/>
    </xf>
    <xf numFmtId="0" fontId="36" fillId="11" borderId="4" xfId="0" applyFont="1" applyFill="1" applyBorder="1" applyAlignment="1">
      <alignment horizontal="center" vertical="top"/>
    </xf>
    <xf numFmtId="0" fontId="0" fillId="0" borderId="5" xfId="0" applyBorder="1" applyAlignment="1">
      <alignment vertical="top"/>
    </xf>
    <xf numFmtId="0" fontId="0" fillId="0" borderId="4" xfId="0" applyBorder="1" applyAlignment="1">
      <alignment vertical="top"/>
    </xf>
    <xf numFmtId="0" fontId="0" fillId="0" borderId="31" xfId="0" applyBorder="1" applyAlignment="1">
      <alignment vertical="top" wrapText="1"/>
    </xf>
    <xf numFmtId="49" fontId="0" fillId="0" borderId="1" xfId="0" applyNumberFormat="1" applyBorder="1" applyAlignment="1" applyProtection="1">
      <alignment horizontal="left" vertical="center" wrapText="1" indent="1"/>
      <protection locked="0"/>
    </xf>
    <xf numFmtId="49" fontId="0" fillId="0" borderId="2" xfId="0" applyNumberFormat="1" applyBorder="1" applyAlignment="1" applyProtection="1">
      <alignment horizontal="left" vertical="center" wrapText="1" indent="1"/>
      <protection locked="0"/>
    </xf>
    <xf numFmtId="49" fontId="0" fillId="0" borderId="3" xfId="0" applyNumberFormat="1" applyBorder="1" applyAlignment="1" applyProtection="1">
      <alignment horizontal="left" vertical="center" wrapText="1" indent="1"/>
      <protection locked="0"/>
    </xf>
    <xf numFmtId="49" fontId="0" fillId="8" borderId="2" xfId="0" applyNumberFormat="1" applyFill="1" applyBorder="1" applyAlignment="1" applyProtection="1">
      <alignment horizontal="left" vertical="top" wrapText="1" indent="1"/>
      <protection locked="0"/>
    </xf>
    <xf numFmtId="0" fontId="20" fillId="0" borderId="16" xfId="0" applyFont="1" applyBorder="1" applyAlignment="1">
      <alignment horizontal="left" vertical="top" wrapText="1" indent="1"/>
    </xf>
    <xf numFmtId="0" fontId="10" fillId="0" borderId="17" xfId="0" applyFont="1" applyBorder="1" applyAlignment="1">
      <alignment horizontal="left" vertical="top" wrapText="1" indent="1"/>
    </xf>
    <xf numFmtId="0" fontId="10" fillId="0" borderId="18" xfId="0" applyFont="1" applyBorder="1" applyAlignment="1">
      <alignment horizontal="left" vertical="top" wrapText="1" indent="1"/>
    </xf>
    <xf numFmtId="164" fontId="0" fillId="8" borderId="31" xfId="0" applyNumberFormat="1" applyFill="1" applyBorder="1" applyAlignment="1" applyProtection="1">
      <alignment horizontal="center" vertical="center" wrapText="1" shrinkToFit="1"/>
      <protection locked="0"/>
    </xf>
    <xf numFmtId="0" fontId="0" fillId="0" borderId="16" xfId="0" applyBorder="1" applyAlignment="1">
      <alignment horizontal="left" vertical="center" indent="1" shrinkToFit="1"/>
    </xf>
    <xf numFmtId="0" fontId="0" fillId="0" borderId="17" xfId="0" applyBorder="1" applyAlignment="1">
      <alignment horizontal="left" vertical="center" indent="1" shrinkToFit="1"/>
    </xf>
    <xf numFmtId="0" fontId="0" fillId="0" borderId="18" xfId="0" applyBorder="1" applyAlignment="1">
      <alignment horizontal="left" vertical="center" indent="1" shrinkToFit="1"/>
    </xf>
    <xf numFmtId="0" fontId="15" fillId="12" borderId="16" xfId="0" applyFont="1" applyFill="1" applyBorder="1" applyAlignment="1">
      <alignment horizontal="left" vertical="center" wrapText="1" indent="1"/>
    </xf>
    <xf numFmtId="0" fontId="15" fillId="12" borderId="17" xfId="0" applyFont="1" applyFill="1" applyBorder="1" applyAlignment="1">
      <alignment horizontal="left" vertical="center" wrapText="1" indent="1"/>
    </xf>
    <xf numFmtId="0" fontId="15" fillId="12" borderId="18" xfId="0" applyFont="1" applyFill="1" applyBorder="1" applyAlignment="1">
      <alignment horizontal="left" vertical="center" wrapText="1" indent="1"/>
    </xf>
    <xf numFmtId="0" fontId="8" fillId="11" borderId="19" xfId="0" applyFont="1" applyFill="1" applyBorder="1" applyAlignment="1">
      <alignment horizontal="center" vertical="top"/>
    </xf>
    <xf numFmtId="0" fontId="0" fillId="0" borderId="55" xfId="0" applyBorder="1" applyAlignment="1">
      <alignment vertical="top" wrapText="1"/>
    </xf>
    <xf numFmtId="0" fontId="14" fillId="12" borderId="16" xfId="0" applyFont="1" applyFill="1" applyBorder="1" applyAlignment="1">
      <alignment horizontal="center" vertical="center"/>
    </xf>
    <xf numFmtId="0" fontId="15" fillId="12" borderId="17" xfId="0" applyFont="1" applyFill="1" applyBorder="1" applyAlignment="1">
      <alignment horizontal="center" vertical="center"/>
    </xf>
    <xf numFmtId="0" fontId="15" fillId="12" borderId="18" xfId="0" applyFont="1" applyFill="1" applyBorder="1" applyAlignment="1">
      <alignment horizontal="center" vertical="center"/>
    </xf>
    <xf numFmtId="0" fontId="43" fillId="14" borderId="4" xfId="0" applyFont="1" applyFill="1" applyBorder="1" applyAlignment="1">
      <alignment horizontal="left" vertical="center" shrinkToFit="1"/>
    </xf>
    <xf numFmtId="0" fontId="43" fillId="14" borderId="0" xfId="0" applyFont="1" applyFill="1" applyAlignment="1">
      <alignment horizontal="left" vertical="center" shrinkToFit="1"/>
    </xf>
    <xf numFmtId="0" fontId="0" fillId="0" borderId="0" xfId="0" applyAlignment="1">
      <alignment horizontal="left" vertical="center" shrinkToFit="1"/>
    </xf>
    <xf numFmtId="0" fontId="0" fillId="0" borderId="5" xfId="0" applyBorder="1" applyAlignment="1">
      <alignment horizontal="left" vertical="center" shrinkToFit="1"/>
    </xf>
    <xf numFmtId="0" fontId="43" fillId="14" borderId="16" xfId="0" applyFont="1" applyFill="1" applyBorder="1" applyAlignment="1">
      <alignment horizontal="left" vertical="center" shrinkToFit="1"/>
    </xf>
    <xf numFmtId="0" fontId="43" fillId="14" borderId="17" xfId="0" applyFont="1" applyFill="1" applyBorder="1" applyAlignment="1">
      <alignment horizontal="left" vertical="center" shrinkToFit="1"/>
    </xf>
    <xf numFmtId="0" fontId="0" fillId="0" borderId="17" xfId="0" applyBorder="1" applyAlignment="1">
      <alignment horizontal="left" vertical="center" shrinkToFit="1"/>
    </xf>
    <xf numFmtId="0" fontId="0" fillId="0" borderId="2" xfId="0" applyBorder="1" applyAlignment="1">
      <alignment horizontal="left" vertical="center" shrinkToFit="1"/>
    </xf>
    <xf numFmtId="0" fontId="0" fillId="0" borderId="3" xfId="0" applyBorder="1" applyAlignment="1">
      <alignment horizontal="left" vertical="center" shrinkToFit="1"/>
    </xf>
    <xf numFmtId="0" fontId="43" fillId="14" borderId="2" xfId="0" applyFont="1" applyFill="1" applyBorder="1" applyAlignment="1">
      <alignment horizontal="left" vertical="center" shrinkToFit="1"/>
    </xf>
    <xf numFmtId="0" fontId="86" fillId="0" borderId="1" xfId="0" applyFont="1" applyBorder="1" applyAlignment="1">
      <alignment horizontal="center" vertical="center" shrinkToFit="1"/>
    </xf>
    <xf numFmtId="0" fontId="15" fillId="0" borderId="31" xfId="0" applyFont="1" applyBorder="1" applyAlignment="1">
      <alignment horizontal="left" vertical="center" indent="1" shrinkToFit="1"/>
    </xf>
    <xf numFmtId="0" fontId="15" fillId="0" borderId="31" xfId="0" applyFont="1" applyBorder="1" applyAlignment="1">
      <alignment horizontal="right" vertical="center" shrinkToFit="1"/>
    </xf>
    <xf numFmtId="0" fontId="15" fillId="0" borderId="16" xfId="0" applyFont="1" applyBorder="1" applyAlignment="1">
      <alignment horizontal="left" vertical="center"/>
    </xf>
    <xf numFmtId="0" fontId="0" fillId="0" borderId="17" xfId="0" applyBorder="1" applyAlignment="1">
      <alignment horizontal="left" vertical="center"/>
    </xf>
    <xf numFmtId="0" fontId="0" fillId="6" borderId="20" xfId="0" applyFill="1" applyBorder="1" applyAlignment="1">
      <alignment horizontal="left" vertical="top"/>
    </xf>
    <xf numFmtId="0" fontId="0" fillId="6" borderId="21" xfId="0" applyFill="1" applyBorder="1" applyAlignment="1">
      <alignment horizontal="left" vertical="top"/>
    </xf>
    <xf numFmtId="0" fontId="0" fillId="6" borderId="17" xfId="0" applyFill="1" applyBorder="1" applyAlignment="1">
      <alignment horizontal="left" vertical="top"/>
    </xf>
    <xf numFmtId="0" fontId="0" fillId="6" borderId="18" xfId="0" applyFill="1" applyBorder="1" applyAlignment="1">
      <alignment horizontal="left" vertical="top"/>
    </xf>
    <xf numFmtId="0" fontId="101" fillId="0" borderId="4" xfId="0" applyFont="1" applyBorder="1" applyAlignment="1">
      <alignment horizontal="left" vertical="center" wrapText="1" indent="1"/>
    </xf>
    <xf numFmtId="0" fontId="101" fillId="0" borderId="0" xfId="0" applyFont="1" applyAlignment="1">
      <alignment horizontal="left" vertical="center" wrapText="1" indent="1"/>
    </xf>
    <xf numFmtId="0" fontId="15" fillId="0" borderId="17" xfId="0" applyFont="1" applyBorder="1" applyAlignment="1">
      <alignment horizontal="center" vertical="center"/>
    </xf>
    <xf numFmtId="0" fontId="15" fillId="0" borderId="18" xfId="0" applyFont="1" applyBorder="1" applyAlignment="1">
      <alignment horizontal="center" vertical="center"/>
    </xf>
    <xf numFmtId="0" fontId="8" fillId="15" borderId="31" xfId="0" applyFont="1" applyFill="1" applyBorder="1" applyAlignment="1">
      <alignment vertical="top" wrapText="1"/>
    </xf>
    <xf numFmtId="0" fontId="8" fillId="15" borderId="1" xfId="0" applyFont="1" applyFill="1" applyBorder="1" applyAlignment="1">
      <alignment horizontal="center" vertical="top" wrapText="1"/>
    </xf>
    <xf numFmtId="0" fontId="8" fillId="15" borderId="4" xfId="0" applyFont="1" applyFill="1" applyBorder="1" applyAlignment="1">
      <alignment horizontal="center" vertical="top" wrapText="1"/>
    </xf>
    <xf numFmtId="0" fontId="0" fillId="0" borderId="22" xfId="0" applyBorder="1" applyAlignment="1">
      <alignment horizontal="left" vertical="top" wrapText="1"/>
    </xf>
    <xf numFmtId="0" fontId="9" fillId="0" borderId="16" xfId="0" applyFont="1" applyBorder="1" applyAlignment="1">
      <alignment vertical="top" wrapText="1"/>
    </xf>
    <xf numFmtId="0" fontId="0" fillId="0" borderId="17" xfId="0" applyBorder="1" applyAlignment="1">
      <alignment vertical="top" wrapText="1"/>
    </xf>
    <xf numFmtId="0" fontId="0" fillId="0" borderId="18" xfId="0" applyBorder="1" applyAlignment="1">
      <alignment vertical="top" wrapText="1"/>
    </xf>
    <xf numFmtId="164" fontId="8" fillId="15" borderId="1" xfId="0" applyNumberFormat="1" applyFont="1" applyFill="1" applyBorder="1" applyAlignment="1">
      <alignment horizontal="center" vertical="top" wrapText="1"/>
    </xf>
    <xf numFmtId="164" fontId="8" fillId="0" borderId="3" xfId="0" applyNumberFormat="1" applyFont="1" applyBorder="1" applyAlignment="1">
      <alignment horizontal="center" vertical="top" wrapText="1"/>
    </xf>
    <xf numFmtId="164" fontId="8" fillId="15" borderId="4" xfId="0" applyNumberFormat="1" applyFont="1" applyFill="1" applyBorder="1" applyAlignment="1">
      <alignment horizontal="center" vertical="top" wrapText="1"/>
    </xf>
    <xf numFmtId="164" fontId="8" fillId="0" borderId="5" xfId="0" applyNumberFormat="1" applyFont="1" applyBorder="1" applyAlignment="1">
      <alignment horizontal="center" vertical="top" wrapText="1"/>
    </xf>
    <xf numFmtId="38" fontId="10" fillId="8" borderId="25" xfId="0" applyNumberFormat="1" applyFont="1" applyFill="1" applyBorder="1" applyAlignment="1" applyProtection="1">
      <alignment horizontal="center" vertical="center" wrapText="1"/>
      <protection locked="0"/>
    </xf>
    <xf numFmtId="0" fontId="0" fillId="8" borderId="26" xfId="0" applyFill="1" applyBorder="1" applyAlignment="1" applyProtection="1">
      <alignment wrapText="1"/>
      <protection locked="0"/>
    </xf>
    <xf numFmtId="0" fontId="0" fillId="8" borderId="27" xfId="0" applyFill="1" applyBorder="1" applyAlignment="1" applyProtection="1">
      <alignment wrapText="1"/>
      <protection locked="0"/>
    </xf>
    <xf numFmtId="0" fontId="0" fillId="0" borderId="26" xfId="0" applyBorder="1" applyAlignment="1" applyProtection="1">
      <alignment wrapText="1"/>
      <protection locked="0"/>
    </xf>
    <xf numFmtId="0" fontId="0" fillId="0" borderId="27" xfId="0" applyBorder="1" applyAlignment="1" applyProtection="1">
      <alignment wrapText="1"/>
      <protection locked="0"/>
    </xf>
    <xf numFmtId="0" fontId="10" fillId="8" borderId="25" xfId="0" applyFont="1" applyFill="1"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0" fillId="0" borderId="27" xfId="0" applyBorder="1" applyAlignment="1" applyProtection="1">
      <alignment horizontal="center" vertical="center" wrapText="1"/>
      <protection locked="0"/>
    </xf>
    <xf numFmtId="0" fontId="35" fillId="12" borderId="32" xfId="0" applyFont="1" applyFill="1" applyBorder="1" applyAlignment="1">
      <alignment horizontal="center" vertical="center" wrapText="1"/>
    </xf>
    <xf numFmtId="0" fontId="48" fillId="0" borderId="151" xfId="0" applyFont="1" applyBorder="1" applyAlignment="1">
      <alignment horizontal="center" vertical="center" wrapText="1"/>
    </xf>
    <xf numFmtId="0" fontId="10" fillId="0" borderId="34" xfId="0" applyFont="1" applyBorder="1" applyAlignment="1">
      <alignment horizontal="center" vertical="center"/>
    </xf>
    <xf numFmtId="0" fontId="0" fillId="0" borderId="2" xfId="0" applyBorder="1" applyAlignment="1" applyProtection="1">
      <alignment horizontal="left" vertical="center" wrapText="1" indent="1"/>
      <protection locked="0"/>
    </xf>
    <xf numFmtId="0" fontId="0" fillId="0" borderId="3" xfId="0" applyBorder="1" applyAlignment="1" applyProtection="1">
      <alignment horizontal="left" vertical="center" wrapText="1" indent="1"/>
      <protection locked="0"/>
    </xf>
    <xf numFmtId="0" fontId="8" fillId="15" borderId="31" xfId="0" applyFont="1" applyFill="1" applyBorder="1" applyAlignment="1">
      <alignment vertical="center"/>
    </xf>
    <xf numFmtId="0" fontId="0" fillId="15" borderId="3" xfId="0" applyFill="1" applyBorder="1" applyAlignment="1">
      <alignment horizontal="center" vertical="top" wrapText="1"/>
    </xf>
    <xf numFmtId="0" fontId="0" fillId="15" borderId="4" xfId="0" applyFill="1" applyBorder="1" applyAlignment="1">
      <alignment horizontal="center" vertical="top" wrapText="1"/>
    </xf>
    <xf numFmtId="0" fontId="0" fillId="15" borderId="5" xfId="0" applyFill="1" applyBorder="1" applyAlignment="1">
      <alignment horizontal="center" vertical="top" wrapText="1"/>
    </xf>
    <xf numFmtId="0" fontId="0" fillId="0" borderId="21" xfId="0" applyBorder="1" applyAlignment="1">
      <alignment horizontal="center" vertical="top" wrapText="1"/>
    </xf>
    <xf numFmtId="0" fontId="0" fillId="0" borderId="1" xfId="0" applyBorder="1" applyAlignment="1">
      <alignment horizontal="left" vertical="top" wrapText="1"/>
    </xf>
    <xf numFmtId="0" fontId="10" fillId="0" borderId="16" xfId="0" applyFont="1" applyBorder="1" applyAlignment="1">
      <alignment horizontal="right" vertical="center" indent="1"/>
    </xf>
    <xf numFmtId="0" fontId="10" fillId="0" borderId="17" xfId="0" applyFont="1" applyBorder="1" applyAlignment="1">
      <alignment horizontal="right" vertical="center" indent="1"/>
    </xf>
    <xf numFmtId="0" fontId="10" fillId="0" borderId="18" xfId="0" applyFont="1" applyBorder="1" applyAlignment="1">
      <alignment horizontal="right" vertical="center" indent="1"/>
    </xf>
    <xf numFmtId="0" fontId="0" fillId="0" borderId="48" xfId="0" applyBorder="1" applyAlignment="1">
      <alignment horizontal="left" vertical="top" wrapText="1" indent="2"/>
    </xf>
    <xf numFmtId="0" fontId="0" fillId="0" borderId="17" xfId="0" applyBorder="1" applyAlignment="1" applyProtection="1">
      <alignment horizontal="left" vertical="top" wrapText="1" indent="1"/>
      <protection locked="0"/>
    </xf>
    <xf numFmtId="0" fontId="0" fillId="0" borderId="18" xfId="0" applyBorder="1" applyAlignment="1" applyProtection="1">
      <alignment horizontal="left" vertical="top" wrapText="1" indent="1"/>
      <protection locked="0"/>
    </xf>
    <xf numFmtId="0" fontId="0" fillId="0" borderId="19" xfId="0" applyBorder="1" applyAlignment="1">
      <alignment horizontal="left" vertical="top" wrapText="1" indent="5"/>
    </xf>
    <xf numFmtId="0" fontId="0" fillId="0" borderId="20" xfId="0" applyBorder="1" applyAlignment="1">
      <alignment horizontal="left" vertical="top" wrapText="1" indent="5"/>
    </xf>
    <xf numFmtId="0" fontId="0" fillId="0" borderId="21" xfId="0" applyBorder="1" applyAlignment="1">
      <alignment horizontal="left" vertical="top" wrapText="1" indent="5"/>
    </xf>
    <xf numFmtId="2" fontId="0" fillId="0" borderId="33" xfId="0" applyNumberFormat="1" applyBorder="1" applyAlignment="1">
      <alignment horizontal="center" vertical="center" wrapText="1"/>
    </xf>
    <xf numFmtId="0" fontId="0" fillId="0" borderId="19" xfId="0" applyBorder="1" applyAlignment="1">
      <alignment horizontal="left" vertical="center" wrapText="1" indent="5"/>
    </xf>
    <xf numFmtId="0" fontId="0" fillId="0" borderId="20" xfId="0" applyBorder="1" applyAlignment="1">
      <alignment horizontal="left" vertical="center" wrapText="1" indent="5"/>
    </xf>
    <xf numFmtId="0" fontId="0" fillId="0" borderId="21" xfId="0" applyBorder="1" applyAlignment="1">
      <alignment horizontal="left" vertical="center" wrapText="1" indent="5"/>
    </xf>
    <xf numFmtId="0" fontId="0" fillId="8" borderId="31" xfId="0" applyFill="1" applyBorder="1" applyAlignment="1" applyProtection="1">
      <alignment horizontal="center" vertical="center" wrapText="1"/>
      <protection locked="0"/>
    </xf>
    <xf numFmtId="0" fontId="0" fillId="0" borderId="33" xfId="0" applyBorder="1" applyAlignment="1">
      <alignment horizontal="center" vertical="center"/>
    </xf>
    <xf numFmtId="0" fontId="21" fillId="0" borderId="33" xfId="0" applyFont="1" applyBorder="1" applyAlignment="1">
      <alignment horizontal="left" vertical="top" wrapText="1"/>
    </xf>
    <xf numFmtId="0" fontId="0" fillId="0" borderId="33" xfId="0" applyBorder="1" applyAlignment="1">
      <alignment vertical="center" wrapText="1"/>
    </xf>
    <xf numFmtId="0" fontId="0" fillId="0" borderId="34" xfId="0" applyBorder="1" applyAlignment="1">
      <alignment wrapText="1"/>
    </xf>
    <xf numFmtId="0" fontId="0" fillId="0" borderId="33" xfId="0" applyBorder="1" applyAlignment="1">
      <alignment wrapText="1"/>
    </xf>
    <xf numFmtId="0" fontId="31" fillId="0" borderId="16" xfId="0" applyFont="1" applyBorder="1" applyAlignment="1">
      <alignment horizontal="left" vertical="center" wrapText="1" indent="1"/>
    </xf>
    <xf numFmtId="0" fontId="31" fillId="0" borderId="17" xfId="0" applyFont="1" applyBorder="1" applyAlignment="1">
      <alignment horizontal="left" vertical="center" wrapText="1" indent="1"/>
    </xf>
    <xf numFmtId="0" fontId="31" fillId="0" borderId="18" xfId="0" applyFont="1" applyBorder="1" applyAlignment="1">
      <alignment horizontal="left" vertical="center" wrapText="1" indent="1"/>
    </xf>
    <xf numFmtId="0" fontId="0" fillId="0" borderId="4" xfId="0" applyBorder="1" applyAlignment="1" applyProtection="1">
      <alignment horizontal="left" vertical="top" wrapText="1" indent="1"/>
      <protection locked="0"/>
    </xf>
    <xf numFmtId="0" fontId="0" fillId="0" borderId="0" xfId="0" applyAlignment="1" applyProtection="1">
      <alignment horizontal="left" vertical="top" wrapText="1" indent="1"/>
      <protection locked="0"/>
    </xf>
    <xf numFmtId="0" fontId="0" fillId="0" borderId="5" xfId="0" applyBorder="1" applyAlignment="1" applyProtection="1">
      <alignment horizontal="left" vertical="top" wrapText="1" indent="1"/>
      <protection locked="0"/>
    </xf>
    <xf numFmtId="0" fontId="21" fillId="0" borderId="16" xfId="0" applyFont="1" applyBorder="1" applyAlignment="1">
      <alignment horizontal="left" vertical="top" wrapText="1" indent="2"/>
    </xf>
    <xf numFmtId="0" fontId="10" fillId="8" borderId="17" xfId="0" applyFont="1" applyFill="1" applyBorder="1" applyAlignment="1" applyProtection="1">
      <alignment horizontal="center" vertical="center" wrapText="1"/>
      <protection locked="0"/>
    </xf>
    <xf numFmtId="0" fontId="10" fillId="8" borderId="18" xfId="0" applyFont="1" applyFill="1" applyBorder="1" applyAlignment="1" applyProtection="1">
      <alignment horizontal="center" vertical="center" wrapText="1"/>
      <protection locked="0"/>
    </xf>
    <xf numFmtId="0" fontId="10" fillId="0" borderId="17" xfId="0" applyFont="1" applyBorder="1" applyAlignment="1" applyProtection="1">
      <alignment horizontal="center" vertical="center" wrapText="1"/>
      <protection locked="0"/>
    </xf>
    <xf numFmtId="0" fontId="10" fillId="0" borderId="18" xfId="0" applyFont="1" applyBorder="1" applyAlignment="1" applyProtection="1">
      <alignment horizontal="center" vertical="center" wrapText="1"/>
      <protection locked="0"/>
    </xf>
    <xf numFmtId="0" fontId="0" fillId="12" borderId="32" xfId="0" applyFill="1" applyBorder="1" applyAlignment="1">
      <alignment horizontal="left" vertical="top" wrapText="1"/>
    </xf>
    <xf numFmtId="0" fontId="0" fillId="12" borderId="31" xfId="0" applyFill="1" applyBorder="1" applyAlignment="1">
      <alignment horizontal="left" vertical="top" wrapText="1"/>
    </xf>
    <xf numFmtId="0" fontId="0" fillId="0" borderId="29" xfId="0" applyBorder="1" applyAlignment="1">
      <alignment horizontal="left" vertical="top" wrapText="1" indent="2"/>
    </xf>
    <xf numFmtId="0" fontId="0" fillId="0" borderId="30" xfId="0" applyBorder="1" applyAlignment="1">
      <alignment horizontal="left" vertical="top" wrapText="1" indent="2"/>
    </xf>
    <xf numFmtId="0" fontId="10" fillId="0" borderId="33" xfId="0" applyFont="1" applyBorder="1" applyAlignment="1">
      <alignment horizontal="center" vertical="center"/>
    </xf>
    <xf numFmtId="0" fontId="0" fillId="8" borderId="31" xfId="0" applyFill="1" applyBorder="1" applyAlignment="1" applyProtection="1">
      <alignment horizontal="left" vertical="top" wrapText="1" indent="1"/>
      <protection locked="0"/>
    </xf>
    <xf numFmtId="1" fontId="0" fillId="8" borderId="16" xfId="0" applyNumberFormat="1" applyFill="1" applyBorder="1" applyAlignment="1" applyProtection="1">
      <alignment horizontal="center" vertical="center"/>
      <protection locked="0"/>
    </xf>
    <xf numFmtId="1" fontId="0" fillId="0" borderId="18" xfId="0" applyNumberFormat="1" applyBorder="1" applyAlignment="1" applyProtection="1">
      <alignment horizontal="center" vertical="center"/>
      <protection locked="0"/>
    </xf>
    <xf numFmtId="0" fontId="10" fillId="12" borderId="16" xfId="0" applyFont="1" applyFill="1" applyBorder="1" applyAlignment="1">
      <alignment horizontal="left" vertical="top" wrapText="1"/>
    </xf>
    <xf numFmtId="0" fontId="0" fillId="12" borderId="17" xfId="0" applyFill="1" applyBorder="1" applyAlignment="1">
      <alignment horizontal="left" vertical="top" wrapText="1"/>
    </xf>
    <xf numFmtId="0" fontId="0" fillId="12" borderId="18" xfId="0" applyFill="1" applyBorder="1" applyAlignment="1">
      <alignment horizontal="left" vertical="top" wrapText="1"/>
    </xf>
    <xf numFmtId="0" fontId="10" fillId="8" borderId="50" xfId="0" applyFont="1" applyFill="1" applyBorder="1" applyAlignment="1" applyProtection="1">
      <alignment horizontal="center" vertical="center" wrapText="1"/>
      <protection locked="0"/>
    </xf>
    <xf numFmtId="0" fontId="9" fillId="0" borderId="55" xfId="0" applyFont="1" applyBorder="1" applyAlignment="1">
      <alignment vertical="top" wrapText="1"/>
    </xf>
    <xf numFmtId="0" fontId="0" fillId="0" borderId="22" xfId="0" applyBorder="1" applyAlignment="1">
      <alignment vertical="top" wrapText="1"/>
    </xf>
    <xf numFmtId="0" fontId="0" fillId="0" borderId="23" xfId="0" applyBorder="1" applyAlignment="1">
      <alignment vertical="top" wrapText="1"/>
    </xf>
    <xf numFmtId="0" fontId="0" fillId="0" borderId="24" xfId="0" applyBorder="1" applyAlignment="1">
      <alignment vertical="top" wrapText="1"/>
    </xf>
    <xf numFmtId="0" fontId="0" fillId="16" borderId="4" xfId="0" applyFill="1" applyBorder="1" applyAlignment="1" applyProtection="1">
      <alignment horizontal="left" vertical="top" wrapText="1" indent="1"/>
      <protection locked="0"/>
    </xf>
    <xf numFmtId="0" fontId="35" fillId="0" borderId="32" xfId="0" applyFont="1" applyBorder="1" applyAlignment="1">
      <alignment horizontal="center" vertical="center" wrapText="1"/>
    </xf>
    <xf numFmtId="0" fontId="35" fillId="0" borderId="34" xfId="0" applyFont="1" applyBorder="1" applyAlignment="1">
      <alignment horizontal="center" vertical="center" wrapText="1"/>
    </xf>
    <xf numFmtId="0" fontId="35" fillId="0" borderId="33" xfId="0" applyFont="1" applyBorder="1" applyAlignment="1">
      <alignment horizontal="center" vertical="center" wrapText="1"/>
    </xf>
    <xf numFmtId="0" fontId="0" fillId="16" borderId="54" xfId="0" applyFill="1" applyBorder="1" applyAlignment="1" applyProtection="1">
      <alignment horizontal="left" vertical="top" wrapText="1" indent="1"/>
      <protection locked="0"/>
    </xf>
    <xf numFmtId="0" fontId="0" fillId="8" borderId="45" xfId="0" applyFill="1" applyBorder="1" applyAlignment="1" applyProtection="1">
      <alignment horizontal="left" vertical="top" wrapText="1" indent="1"/>
      <protection locked="0"/>
    </xf>
    <xf numFmtId="0" fontId="0" fillId="8" borderId="46" xfId="0" applyFill="1" applyBorder="1" applyAlignment="1" applyProtection="1">
      <alignment horizontal="left" vertical="top" wrapText="1" indent="1"/>
      <protection locked="0"/>
    </xf>
    <xf numFmtId="0" fontId="0" fillId="0" borderId="34" xfId="0" applyBorder="1" applyAlignment="1">
      <alignment horizontal="left" vertical="top" wrapText="1"/>
    </xf>
    <xf numFmtId="0" fontId="0" fillId="8" borderId="34" xfId="0" applyFill="1" applyBorder="1" applyAlignment="1" applyProtection="1">
      <alignment horizontal="left" vertical="top" wrapText="1" indent="1"/>
      <protection locked="0"/>
    </xf>
    <xf numFmtId="0" fontId="43" fillId="15" borderId="16" xfId="0" applyFont="1" applyFill="1" applyBorder="1" applyAlignment="1">
      <alignment vertical="center"/>
    </xf>
    <xf numFmtId="0" fontId="44" fillId="15" borderId="17" xfId="0" applyFont="1" applyFill="1" applyBorder="1" applyAlignment="1">
      <alignment vertical="center"/>
    </xf>
    <xf numFmtId="0" fontId="43" fillId="15" borderId="0" xfId="0" applyFont="1" applyFill="1" applyAlignment="1">
      <alignment horizontal="left" vertical="center" shrinkToFit="1"/>
    </xf>
    <xf numFmtId="0" fontId="88" fillId="0" borderId="16" xfId="0" applyFont="1" applyBorder="1" applyAlignment="1">
      <alignment horizontal="center" vertical="center" shrinkToFit="1"/>
    </xf>
    <xf numFmtId="0" fontId="88" fillId="0" borderId="18" xfId="0" applyFont="1" applyBorder="1" applyAlignment="1">
      <alignment horizontal="center" vertical="center" shrinkToFit="1"/>
    </xf>
    <xf numFmtId="0" fontId="0" fillId="0" borderId="33" xfId="0" applyBorder="1" applyAlignment="1">
      <alignment horizontal="left" vertical="top" wrapText="1"/>
    </xf>
    <xf numFmtId="0" fontId="15" fillId="0" borderId="16" xfId="0" applyFont="1" applyBorder="1" applyAlignment="1">
      <alignment horizontal="left" vertical="center" wrapText="1"/>
    </xf>
    <xf numFmtId="0" fontId="15" fillId="0" borderId="17" xfId="0" applyFont="1" applyBorder="1" applyAlignment="1">
      <alignment horizontal="left" vertical="center" wrapText="1"/>
    </xf>
    <xf numFmtId="0" fontId="15" fillId="0" borderId="18" xfId="0" applyFont="1" applyBorder="1" applyAlignment="1">
      <alignment horizontal="left" vertical="center" wrapText="1"/>
    </xf>
    <xf numFmtId="0" fontId="0" fillId="15" borderId="0" xfId="0" applyFill="1"/>
    <xf numFmtId="0" fontId="0" fillId="15" borderId="5" xfId="0" applyFill="1" applyBorder="1"/>
    <xf numFmtId="0" fontId="8" fillId="15" borderId="4" xfId="0" applyFont="1" applyFill="1" applyBorder="1" applyAlignment="1">
      <alignment horizontal="center" vertical="top"/>
    </xf>
    <xf numFmtId="0" fontId="15" fillId="0" borderId="31" xfId="0" applyFont="1" applyBorder="1" applyAlignment="1">
      <alignment horizontal="left" vertical="center"/>
    </xf>
    <xf numFmtId="0" fontId="8" fillId="17" borderId="31" xfId="0" applyFont="1" applyFill="1" applyBorder="1" applyAlignment="1">
      <alignment vertical="center"/>
    </xf>
    <xf numFmtId="0" fontId="8" fillId="15" borderId="19" xfId="0" applyFont="1" applyFill="1" applyBorder="1" applyAlignment="1">
      <alignment horizontal="center" vertical="top"/>
    </xf>
    <xf numFmtId="0" fontId="0" fillId="15" borderId="20" xfId="0" applyFill="1" applyBorder="1"/>
    <xf numFmtId="0" fontId="0" fillId="15" borderId="21" xfId="0" applyFill="1" applyBorder="1"/>
    <xf numFmtId="0" fontId="25" fillId="17" borderId="19" xfId="0" applyFont="1" applyFill="1" applyBorder="1" applyAlignment="1">
      <alignment vertical="center" wrapText="1"/>
    </xf>
    <xf numFmtId="0" fontId="25" fillId="17" borderId="20" xfId="0" applyFont="1" applyFill="1" applyBorder="1" applyAlignment="1">
      <alignment vertical="center" wrapText="1"/>
    </xf>
    <xf numFmtId="0" fontId="25" fillId="17" borderId="21" xfId="0" applyFont="1" applyFill="1" applyBorder="1" applyAlignment="1">
      <alignment vertical="center" wrapText="1"/>
    </xf>
    <xf numFmtId="0" fontId="8" fillId="17" borderId="1" xfId="0" applyFont="1" applyFill="1" applyBorder="1" applyAlignment="1">
      <alignment horizontal="center" vertical="top"/>
    </xf>
    <xf numFmtId="0" fontId="8" fillId="17" borderId="4" xfId="0" applyFont="1" applyFill="1" applyBorder="1" applyAlignment="1">
      <alignment horizontal="center" vertical="top"/>
    </xf>
    <xf numFmtId="0" fontId="37" fillId="0" borderId="32" xfId="0" applyFont="1" applyBorder="1" applyAlignment="1">
      <alignment horizontal="center" vertical="center" wrapText="1"/>
    </xf>
    <xf numFmtId="0" fontId="37" fillId="0" borderId="34" xfId="0" applyFont="1" applyBorder="1" applyAlignment="1">
      <alignment horizontal="center" vertical="center" wrapText="1"/>
    </xf>
    <xf numFmtId="0" fontId="10" fillId="0" borderId="16" xfId="0" applyFont="1" applyBorder="1" applyAlignment="1">
      <alignment horizontal="right" vertical="center" wrapText="1"/>
    </xf>
    <xf numFmtId="0" fontId="0" fillId="0" borderId="17" xfId="0" applyBorder="1" applyAlignment="1">
      <alignment horizontal="right" vertical="center" wrapText="1"/>
    </xf>
    <xf numFmtId="0" fontId="0" fillId="0" borderId="18" xfId="0" applyBorder="1" applyAlignment="1">
      <alignment horizontal="right" vertical="center" wrapText="1"/>
    </xf>
    <xf numFmtId="3" fontId="10" fillId="0" borderId="16" xfId="0" applyNumberFormat="1" applyFont="1" applyBorder="1" applyAlignment="1">
      <alignment horizontal="center" vertical="center" shrinkToFit="1"/>
    </xf>
    <xf numFmtId="3" fontId="10" fillId="0" borderId="18" xfId="0" applyNumberFormat="1" applyFont="1" applyBorder="1" applyAlignment="1">
      <alignment horizontal="center" vertical="center" shrinkToFit="1"/>
    </xf>
    <xf numFmtId="0" fontId="21" fillId="0" borderId="16" xfId="0" applyFont="1" applyBorder="1" applyAlignment="1">
      <alignment vertical="top" wrapText="1"/>
    </xf>
    <xf numFmtId="0" fontId="21" fillId="0" borderId="17" xfId="0" applyFont="1" applyBorder="1" applyAlignment="1">
      <alignment vertical="top" wrapText="1"/>
    </xf>
    <xf numFmtId="0" fontId="21" fillId="0" borderId="18" xfId="0" applyFont="1" applyBorder="1" applyAlignment="1">
      <alignment vertical="top" wrapText="1"/>
    </xf>
    <xf numFmtId="0" fontId="0" fillId="8" borderId="32" xfId="0" applyFill="1" applyBorder="1" applyAlignment="1" applyProtection="1">
      <alignment horizontal="left" vertical="top" wrapText="1" indent="1"/>
      <protection locked="0"/>
    </xf>
    <xf numFmtId="0" fontId="21" fillId="0" borderId="31" xfId="0" applyFont="1" applyBorder="1" applyAlignment="1">
      <alignment horizontal="left" vertical="top" wrapText="1"/>
    </xf>
    <xf numFmtId="0" fontId="18" fillId="0" borderId="31" xfId="0" applyFont="1" applyBorder="1" applyAlignment="1">
      <alignment vertical="top"/>
    </xf>
    <xf numFmtId="0" fontId="0" fillId="0" borderId="31" xfId="0" applyBorder="1" applyAlignment="1" applyProtection="1">
      <alignment horizontal="left" vertical="top" wrapText="1" indent="1"/>
      <protection locked="0"/>
    </xf>
    <xf numFmtId="0" fontId="9" fillId="0" borderId="31" xfId="0" applyFont="1" applyBorder="1" applyAlignment="1">
      <alignment wrapText="1"/>
    </xf>
    <xf numFmtId="0" fontId="0" fillId="0" borderId="18" xfId="0" applyBorder="1" applyAlignment="1">
      <alignment horizontal="left" wrapText="1"/>
    </xf>
    <xf numFmtId="0" fontId="0" fillId="0" borderId="31" xfId="0" applyBorder="1" applyAlignment="1">
      <alignment horizontal="left" wrapText="1"/>
    </xf>
    <xf numFmtId="0" fontId="8" fillId="17" borderId="19" xfId="0" applyFont="1" applyFill="1" applyBorder="1" applyAlignment="1">
      <alignment vertical="center"/>
    </xf>
    <xf numFmtId="0" fontId="8" fillId="17" borderId="20" xfId="0" applyFont="1" applyFill="1" applyBorder="1" applyAlignment="1">
      <alignment vertical="center"/>
    </xf>
    <xf numFmtId="0" fontId="8" fillId="17" borderId="21" xfId="0" applyFont="1" applyFill="1" applyBorder="1" applyAlignment="1">
      <alignment vertical="center"/>
    </xf>
    <xf numFmtId="0" fontId="14" fillId="0" borderId="19" xfId="0" applyFont="1" applyBorder="1" applyAlignment="1">
      <alignment horizontal="left" vertical="center"/>
    </xf>
    <xf numFmtId="0" fontId="15" fillId="0" borderId="20" xfId="0" applyFont="1" applyBorder="1" applyAlignment="1">
      <alignment horizontal="left" vertical="center"/>
    </xf>
    <xf numFmtId="0" fontId="15" fillId="0" borderId="21" xfId="0" applyFont="1" applyBorder="1" applyAlignment="1">
      <alignment horizontal="left" vertical="center"/>
    </xf>
    <xf numFmtId="0" fontId="10" fillId="12" borderId="1" xfId="0" applyFont="1" applyFill="1" applyBorder="1" applyAlignment="1">
      <alignment horizontal="left" vertical="center" indent="1" shrinkToFit="1"/>
    </xf>
    <xf numFmtId="0" fontId="10" fillId="12" borderId="2" xfId="0" applyFont="1" applyFill="1" applyBorder="1" applyAlignment="1">
      <alignment horizontal="left" vertical="center" indent="1" shrinkToFit="1"/>
    </xf>
    <xf numFmtId="0" fontId="27" fillId="29" borderId="136" xfId="0" applyFont="1" applyFill="1" applyBorder="1" applyAlignment="1">
      <alignment horizontal="left" vertical="center" indent="1"/>
    </xf>
    <xf numFmtId="0" fontId="44" fillId="29" borderId="136" xfId="0" applyFont="1" applyFill="1" applyBorder="1" applyAlignment="1">
      <alignment horizontal="left" vertical="center" indent="1"/>
    </xf>
    <xf numFmtId="0" fontId="0" fillId="29" borderId="136" xfId="0" applyFill="1" applyBorder="1" applyAlignment="1">
      <alignment horizontal="left" vertical="center" indent="1"/>
    </xf>
    <xf numFmtId="0" fontId="43" fillId="17" borderId="16" xfId="0" applyFont="1" applyFill="1" applyBorder="1" applyAlignment="1">
      <alignment vertical="center"/>
    </xf>
    <xf numFmtId="0" fontId="44" fillId="17" borderId="17" xfId="0" applyFont="1" applyFill="1" applyBorder="1" applyAlignment="1">
      <alignment vertical="center"/>
    </xf>
    <xf numFmtId="0" fontId="43" fillId="17" borderId="0" xfId="0" applyFont="1" applyFill="1" applyAlignment="1">
      <alignment horizontal="left" vertical="center" shrinkToFit="1"/>
    </xf>
    <xf numFmtId="0" fontId="88" fillId="12" borderId="2" xfId="0" applyFont="1" applyFill="1" applyBorder="1" applyAlignment="1">
      <alignment horizontal="center" vertical="center" shrinkToFit="1"/>
    </xf>
    <xf numFmtId="0" fontId="0" fillId="17" borderId="0" xfId="0" applyFill="1"/>
    <xf numFmtId="0" fontId="0" fillId="17" borderId="5" xfId="0" applyFill="1" applyBorder="1"/>
    <xf numFmtId="0" fontId="15" fillId="0" borderId="17" xfId="0" applyFont="1" applyBorder="1" applyAlignment="1">
      <alignment horizontal="left" vertical="center"/>
    </xf>
    <xf numFmtId="0" fontId="15" fillId="0" borderId="18" xfId="0" applyFont="1" applyBorder="1" applyAlignment="1">
      <alignment horizontal="left" vertical="center"/>
    </xf>
    <xf numFmtId="0" fontId="15" fillId="0" borderId="17" xfId="0" applyFont="1" applyBorder="1" applyAlignment="1">
      <alignment horizontal="left" vertical="center" wrapText="1" indent="1"/>
    </xf>
    <xf numFmtId="0" fontId="15" fillId="0" borderId="18" xfId="0" applyFont="1" applyBorder="1" applyAlignment="1">
      <alignment horizontal="left" vertical="center" wrapText="1" indent="1"/>
    </xf>
    <xf numFmtId="0" fontId="8" fillId="17" borderId="19" xfId="0" applyFont="1" applyFill="1" applyBorder="1" applyAlignment="1">
      <alignment horizontal="center" vertical="top"/>
    </xf>
    <xf numFmtId="0" fontId="0" fillId="17" borderId="20" xfId="0" applyFill="1" applyBorder="1"/>
    <xf numFmtId="0" fontId="0" fillId="17" borderId="21" xfId="0" applyFill="1" applyBorder="1"/>
    <xf numFmtId="0" fontId="11" fillId="9" borderId="1" xfId="0" applyFont="1" applyFill="1" applyBorder="1" applyAlignment="1">
      <alignment vertical="center"/>
    </xf>
    <xf numFmtId="0" fontId="11" fillId="9" borderId="2" xfId="0" applyFont="1" applyFill="1" applyBorder="1" applyAlignment="1">
      <alignment vertical="center"/>
    </xf>
    <xf numFmtId="0" fontId="11" fillId="9" borderId="3" xfId="0" applyFont="1" applyFill="1" applyBorder="1" applyAlignment="1">
      <alignment vertical="center"/>
    </xf>
    <xf numFmtId="0" fontId="0" fillId="10" borderId="32" xfId="0" applyFill="1" applyBorder="1" applyAlignment="1">
      <alignment horizontal="center" vertical="center"/>
    </xf>
    <xf numFmtId="0" fontId="0" fillId="10" borderId="34" xfId="0" applyFill="1" applyBorder="1" applyAlignment="1">
      <alignment horizontal="center" vertical="center"/>
    </xf>
    <xf numFmtId="0" fontId="0" fillId="10" borderId="33" xfId="0" applyFill="1" applyBorder="1" applyAlignment="1">
      <alignment horizontal="center" vertical="center"/>
    </xf>
    <xf numFmtId="0" fontId="27" fillId="0" borderId="17" xfId="0" applyFont="1" applyBorder="1" applyAlignment="1">
      <alignment horizontal="left" vertical="center" indent="3"/>
    </xf>
    <xf numFmtId="0" fontId="27" fillId="0" borderId="18" xfId="0" applyFont="1" applyBorder="1" applyAlignment="1">
      <alignment horizontal="left" vertical="center" indent="3"/>
    </xf>
    <xf numFmtId="0" fontId="27" fillId="0" borderId="31" xfId="0" applyFont="1" applyBorder="1" applyAlignment="1">
      <alignment horizontal="center" vertical="center"/>
    </xf>
    <xf numFmtId="0" fontId="98" fillId="12" borderId="17" xfId="0" applyFont="1" applyFill="1" applyBorder="1" applyAlignment="1">
      <alignment horizontal="left" vertical="center" wrapText="1" indent="1"/>
    </xf>
    <xf numFmtId="0" fontId="0" fillId="12" borderId="17" xfId="0" applyFill="1" applyBorder="1" applyAlignment="1">
      <alignment horizontal="left" vertical="center" wrapText="1" indent="1"/>
    </xf>
    <xf numFmtId="0" fontId="11" fillId="9" borderId="0" xfId="0" applyFont="1" applyFill="1"/>
    <xf numFmtId="0" fontId="11" fillId="9" borderId="5" xfId="0" applyFont="1" applyFill="1" applyBorder="1"/>
    <xf numFmtId="0" fontId="27" fillId="0" borderId="131" xfId="0" applyFont="1" applyBorder="1" applyAlignment="1">
      <alignment horizontal="left" vertical="center" indent="3"/>
    </xf>
    <xf numFmtId="0" fontId="27" fillId="0" borderId="135" xfId="0" applyFont="1" applyBorder="1" applyAlignment="1">
      <alignment horizontal="left" vertical="center" indent="3"/>
    </xf>
    <xf numFmtId="0" fontId="27" fillId="0" borderId="134" xfId="0" applyFont="1" applyBorder="1" applyAlignment="1">
      <alignment horizontal="center" vertical="center"/>
    </xf>
    <xf numFmtId="0" fontId="27" fillId="0" borderId="31" xfId="0" applyFont="1" applyBorder="1" applyAlignment="1">
      <alignment horizontal="center" vertical="center" wrapText="1"/>
    </xf>
    <xf numFmtId="0" fontId="0" fillId="29" borderId="128" xfId="0" applyFill="1" applyBorder="1" applyAlignment="1">
      <alignment horizontal="left" vertical="center" indent="1"/>
    </xf>
    <xf numFmtId="0" fontId="0" fillId="29" borderId="132" xfId="0" applyFill="1" applyBorder="1" applyAlignment="1">
      <alignment horizontal="left" vertical="center" indent="1"/>
    </xf>
    <xf numFmtId="0" fontId="0" fillId="29" borderId="4" xfId="0" applyFill="1" applyBorder="1" applyAlignment="1">
      <alignment horizontal="left" vertical="center" indent="1"/>
    </xf>
    <xf numFmtId="0" fontId="0" fillId="29" borderId="0" xfId="0" applyFill="1" applyAlignment="1">
      <alignment horizontal="left" vertical="center" indent="1"/>
    </xf>
    <xf numFmtId="49" fontId="0" fillId="5" borderId="0" xfId="0" applyNumberFormat="1" applyFill="1" applyAlignment="1">
      <alignment horizontal="left" indent="1" shrinkToFit="1"/>
    </xf>
    <xf numFmtId="0" fontId="0" fillId="5" borderId="0" xfId="0" applyFill="1" applyAlignment="1">
      <alignment horizontal="left" indent="1" shrinkToFit="1"/>
    </xf>
    <xf numFmtId="0" fontId="22" fillId="5" borderId="0" xfId="0" applyFont="1" applyFill="1"/>
    <xf numFmtId="0" fontId="0" fillId="5" borderId="0" xfId="0" applyFill="1"/>
    <xf numFmtId="49" fontId="0" fillId="5" borderId="16" xfId="0" applyNumberFormat="1" applyFill="1" applyBorder="1" applyAlignment="1">
      <alignment shrinkToFit="1"/>
    </xf>
    <xf numFmtId="49" fontId="0" fillId="5" borderId="17" xfId="0" applyNumberFormat="1" applyFill="1" applyBorder="1" applyAlignment="1">
      <alignment shrinkToFit="1"/>
    </xf>
    <xf numFmtId="49" fontId="0" fillId="5" borderId="18" xfId="0" applyNumberFormat="1" applyFill="1" applyBorder="1" applyAlignment="1">
      <alignment shrinkToFit="1"/>
    </xf>
    <xf numFmtId="49" fontId="0" fillId="5" borderId="0" xfId="0" applyNumberFormat="1" applyFill="1" applyAlignment="1">
      <alignment horizontal="left" indent="4"/>
    </xf>
    <xf numFmtId="49" fontId="0" fillId="5" borderId="17" xfId="0" applyNumberFormat="1" applyFill="1" applyBorder="1" applyAlignment="1">
      <alignment horizontal="left" indent="2"/>
    </xf>
    <xf numFmtId="49" fontId="8" fillId="9" borderId="0" xfId="0" applyNumberFormat="1" applyFont="1" applyFill="1" applyAlignment="1">
      <alignment horizontal="center" vertical="center" wrapText="1"/>
    </xf>
    <xf numFmtId="49" fontId="8" fillId="9" borderId="20" xfId="0" applyNumberFormat="1" applyFont="1" applyFill="1" applyBorder="1" applyAlignment="1">
      <alignment horizontal="center" vertical="center" wrapText="1"/>
    </xf>
    <xf numFmtId="0" fontId="8" fillId="9" borderId="4" xfId="0" applyFont="1" applyFill="1" applyBorder="1" applyAlignment="1">
      <alignment horizontal="center" vertical="top"/>
    </xf>
    <xf numFmtId="0" fontId="8" fillId="9" borderId="0" xfId="0" applyFont="1" applyFill="1"/>
    <xf numFmtId="0" fontId="97" fillId="9" borderId="0" xfId="0" applyFont="1" applyFill="1" applyAlignment="1">
      <alignment horizontal="left" vertical="center"/>
    </xf>
    <xf numFmtId="0" fontId="89" fillId="30" borderId="2" xfId="0" applyFont="1" applyFill="1" applyBorder="1" applyAlignment="1">
      <alignment horizontal="center" vertical="center" shrinkToFit="1"/>
    </xf>
    <xf numFmtId="0" fontId="11" fillId="9" borderId="4" xfId="0" applyFont="1" applyFill="1" applyBorder="1" applyAlignment="1">
      <alignment horizontal="center" vertical="top"/>
    </xf>
    <xf numFmtId="0" fontId="83" fillId="18" borderId="4" xfId="0" applyFont="1" applyFill="1" applyBorder="1" applyAlignment="1">
      <alignment vertical="center"/>
    </xf>
    <xf numFmtId="0" fontId="83" fillId="18" borderId="0" xfId="0" applyFont="1" applyFill="1" applyAlignment="1">
      <alignment vertical="center"/>
    </xf>
    <xf numFmtId="0" fontId="12" fillId="0" borderId="20" xfId="0" applyFont="1" applyBorder="1" applyAlignment="1">
      <alignment vertical="center"/>
    </xf>
    <xf numFmtId="0" fontId="12" fillId="0" borderId="0" xfId="0" applyFont="1" applyAlignment="1">
      <alignment vertical="center"/>
    </xf>
    <xf numFmtId="0" fontId="12" fillId="0" borderId="5" xfId="0" applyFont="1" applyBorder="1" applyAlignment="1">
      <alignment vertical="center"/>
    </xf>
    <xf numFmtId="0" fontId="11" fillId="9" borderId="4" xfId="0" applyFont="1" applyFill="1" applyBorder="1" applyAlignment="1">
      <alignment vertical="center"/>
    </xf>
    <xf numFmtId="0" fontId="11" fillId="9" borderId="0" xfId="0" applyFont="1" applyFill="1" applyAlignment="1">
      <alignment vertical="center"/>
    </xf>
    <xf numFmtId="0" fontId="11" fillId="9" borderId="4" xfId="0" applyFont="1" applyFill="1" applyBorder="1"/>
    <xf numFmtId="0" fontId="14" fillId="0" borderId="31" xfId="0" applyFont="1" applyBorder="1" applyAlignment="1">
      <alignment horizontal="left" vertical="center" indent="1" shrinkToFit="1"/>
    </xf>
    <xf numFmtId="0" fontId="14" fillId="0" borderId="31" xfId="0" applyFont="1" applyBorder="1" applyAlignment="1">
      <alignment horizontal="right" vertical="center" shrinkToFit="1"/>
    </xf>
    <xf numFmtId="0" fontId="10" fillId="0" borderId="1" xfId="0" applyFont="1" applyBorder="1" applyAlignment="1">
      <alignment horizontal="center" vertical="center" wrapText="1"/>
    </xf>
    <xf numFmtId="0" fontId="0" fillId="0" borderId="19" xfId="0" applyBorder="1" applyAlignment="1">
      <alignment horizontal="center" vertical="center" wrapText="1"/>
    </xf>
    <xf numFmtId="0" fontId="0" fillId="0" borderId="32" xfId="0" applyBorder="1" applyAlignment="1">
      <alignment horizontal="center" vertical="center" wrapText="1"/>
    </xf>
    <xf numFmtId="0" fontId="8" fillId="6" borderId="4" xfId="0" applyFont="1" applyFill="1" applyBorder="1" applyAlignment="1">
      <alignment horizontal="center" vertical="top" wrapText="1"/>
    </xf>
    <xf numFmtId="0" fontId="0" fillId="0" borderId="34" xfId="0" applyBorder="1" applyAlignment="1" applyProtection="1">
      <alignment horizontal="center" vertical="center" wrapText="1"/>
      <protection locked="0"/>
    </xf>
    <xf numFmtId="0" fontId="27" fillId="0" borderId="17" xfId="0" applyFont="1" applyBorder="1" applyAlignment="1">
      <alignment horizontal="left" vertical="center" indent="1"/>
    </xf>
    <xf numFmtId="49" fontId="0" fillId="5" borderId="17" xfId="0" applyNumberFormat="1" applyFill="1" applyBorder="1" applyAlignment="1">
      <alignment horizontal="right" indent="1" shrinkToFit="1"/>
    </xf>
    <xf numFmtId="0" fontId="0" fillId="5" borderId="17" xfId="0" applyFill="1" applyBorder="1" applyAlignment="1">
      <alignment horizontal="left" wrapText="1"/>
    </xf>
    <xf numFmtId="0" fontId="27" fillId="0" borderId="1" xfId="0" applyFont="1" applyBorder="1" applyAlignment="1">
      <alignment horizontal="right" vertical="center"/>
    </xf>
    <xf numFmtId="0" fontId="44" fillId="0" borderId="2" xfId="0" applyFont="1" applyBorder="1" applyAlignment="1">
      <alignment horizontal="right" vertical="center"/>
    </xf>
    <xf numFmtId="0" fontId="44" fillId="0" borderId="3" xfId="0" applyFont="1" applyBorder="1" applyAlignment="1">
      <alignment horizontal="right" vertical="center"/>
    </xf>
    <xf numFmtId="0" fontId="44" fillId="0" borderId="19" xfId="0" applyFont="1" applyBorder="1" applyAlignment="1">
      <alignment horizontal="right" vertical="center"/>
    </xf>
    <xf numFmtId="0" fontId="44" fillId="0" borderId="20" xfId="0" applyFont="1" applyBorder="1" applyAlignment="1">
      <alignment horizontal="right" vertical="center"/>
    </xf>
    <xf numFmtId="0" fontId="44" fillId="0" borderId="21" xfId="0" applyFont="1" applyBorder="1" applyAlignment="1">
      <alignment horizontal="right" vertical="center"/>
    </xf>
    <xf numFmtId="0" fontId="84" fillId="8" borderId="1" xfId="0" applyFont="1" applyFill="1" applyBorder="1" applyAlignment="1" applyProtection="1">
      <alignment horizontal="left" vertical="center" indent="1" shrinkToFit="1"/>
      <protection locked="0"/>
    </xf>
    <xf numFmtId="0" fontId="84" fillId="8" borderId="2" xfId="0" applyFont="1" applyFill="1" applyBorder="1" applyAlignment="1" applyProtection="1">
      <alignment horizontal="left" vertical="center" indent="1" shrinkToFit="1"/>
      <protection locked="0"/>
    </xf>
    <xf numFmtId="0" fontId="84" fillId="8" borderId="3" xfId="0" applyFont="1" applyFill="1" applyBorder="1" applyAlignment="1" applyProtection="1">
      <alignment horizontal="left" vertical="center" indent="1" shrinkToFit="1"/>
      <protection locked="0"/>
    </xf>
    <xf numFmtId="0" fontId="84" fillId="8" borderId="19" xfId="0" applyFont="1" applyFill="1" applyBorder="1" applyAlignment="1" applyProtection="1">
      <alignment horizontal="left" vertical="center" indent="1" shrinkToFit="1"/>
      <protection locked="0"/>
    </xf>
    <xf numFmtId="0" fontId="84" fillId="8" borderId="20" xfId="0" applyFont="1" applyFill="1" applyBorder="1" applyAlignment="1" applyProtection="1">
      <alignment horizontal="left" vertical="center" indent="1" shrinkToFit="1"/>
      <protection locked="0"/>
    </xf>
    <xf numFmtId="0" fontId="84" fillId="8" borderId="21" xfId="0" applyFont="1" applyFill="1" applyBorder="1" applyAlignment="1" applyProtection="1">
      <alignment horizontal="left" vertical="center" indent="1" shrinkToFit="1"/>
      <protection locked="0"/>
    </xf>
    <xf numFmtId="0" fontId="11" fillId="9" borderId="19" xfId="0" applyFont="1" applyFill="1" applyBorder="1" applyAlignment="1">
      <alignment horizontal="center" vertical="top"/>
    </xf>
    <xf numFmtId="0" fontId="11" fillId="9" borderId="20" xfId="0" applyFont="1" applyFill="1" applyBorder="1"/>
    <xf numFmtId="0" fontId="11" fillId="9" borderId="21" xfId="0" applyFont="1" applyFill="1" applyBorder="1"/>
    <xf numFmtId="49" fontId="8" fillId="9" borderId="0" xfId="0" applyNumberFormat="1" applyFont="1" applyFill="1" applyAlignment="1">
      <alignment horizontal="left" vertical="center" wrapText="1" indent="1"/>
    </xf>
    <xf numFmtId="1" fontId="0" fillId="5" borderId="16" xfId="0" applyNumberFormat="1" applyFill="1" applyBorder="1" applyAlignment="1">
      <alignment horizontal="center" vertical="top" shrinkToFit="1"/>
    </xf>
    <xf numFmtId="1" fontId="0" fillId="5" borderId="18" xfId="0" applyNumberFormat="1" applyFill="1" applyBorder="1" applyAlignment="1">
      <alignment horizontal="center" vertical="top" shrinkToFit="1"/>
    </xf>
    <xf numFmtId="0" fontId="0" fillId="0" borderId="0" xfId="0" applyAlignment="1">
      <alignment vertical="center" wrapText="1"/>
    </xf>
    <xf numFmtId="0" fontId="27" fillId="0" borderId="20" xfId="0" applyFont="1" applyBorder="1" applyAlignment="1">
      <alignment horizontal="left" vertical="center" indent="1"/>
    </xf>
    <xf numFmtId="0" fontId="22" fillId="5" borderId="2" xfId="0" applyFont="1" applyFill="1" applyBorder="1"/>
    <xf numFmtId="0" fontId="0" fillId="5" borderId="2" xfId="0" applyFill="1" applyBorder="1"/>
    <xf numFmtId="164" fontId="8" fillId="6" borderId="1" xfId="0" applyNumberFormat="1" applyFont="1" applyFill="1" applyBorder="1" applyAlignment="1">
      <alignment horizontal="center" vertical="top"/>
    </xf>
    <xf numFmtId="164" fontId="11" fillId="0" borderId="3" xfId="0" applyNumberFormat="1" applyFont="1" applyBorder="1" applyAlignment="1">
      <alignment horizontal="center" vertical="top"/>
    </xf>
    <xf numFmtId="164" fontId="11" fillId="0" borderId="19" xfId="0" applyNumberFormat="1" applyFont="1" applyBorder="1" applyAlignment="1">
      <alignment horizontal="center" vertical="top"/>
    </xf>
    <xf numFmtId="164" fontId="11" fillId="0" borderId="21" xfId="0" applyNumberFormat="1" applyFont="1" applyBorder="1" applyAlignment="1">
      <alignment horizontal="center" vertical="top"/>
    </xf>
    <xf numFmtId="49" fontId="10" fillId="0" borderId="16" xfId="0" applyNumberFormat="1" applyFont="1" applyBorder="1" applyAlignment="1">
      <alignment horizontal="left" vertical="top" wrapText="1"/>
    </xf>
    <xf numFmtId="0" fontId="0" fillId="4" borderId="19" xfId="0" applyFill="1" applyBorder="1"/>
    <xf numFmtId="0" fontId="0" fillId="4" borderId="20" xfId="0" applyFill="1" applyBorder="1"/>
    <xf numFmtId="0" fontId="0" fillId="4" borderId="21" xfId="0" applyFill="1" applyBorder="1"/>
    <xf numFmtId="0" fontId="43" fillId="11" borderId="16" xfId="0" applyFont="1" applyFill="1" applyBorder="1" applyAlignment="1">
      <alignment vertical="center"/>
    </xf>
    <xf numFmtId="0" fontId="44" fillId="0" borderId="17" xfId="0" applyFont="1" applyBorder="1" applyAlignment="1">
      <alignment vertical="center"/>
    </xf>
    <xf numFmtId="49" fontId="0" fillId="8" borderId="3" xfId="0" applyNumberFormat="1" applyFill="1" applyBorder="1" applyAlignment="1" applyProtection="1">
      <alignment horizontal="left" vertical="top" wrapText="1" indent="1"/>
      <protection locked="0"/>
    </xf>
    <xf numFmtId="0" fontId="101" fillId="0" borderId="4" xfId="0" applyFont="1" applyBorder="1" applyAlignment="1">
      <alignment horizontal="left" vertical="center" wrapText="1" indent="2"/>
    </xf>
    <xf numFmtId="0" fontId="101" fillId="0" borderId="0" xfId="0" applyFont="1" applyAlignment="1">
      <alignment horizontal="left" vertical="center" wrapText="1" indent="2"/>
    </xf>
    <xf numFmtId="0" fontId="0" fillId="0" borderId="18" xfId="0" applyBorder="1" applyAlignment="1">
      <alignment horizontal="left" vertical="center"/>
    </xf>
    <xf numFmtId="0" fontId="10" fillId="0" borderId="31" xfId="0" applyFont="1" applyBorder="1" applyAlignment="1">
      <alignment horizontal="left" vertical="center" wrapText="1" indent="1"/>
    </xf>
    <xf numFmtId="38" fontId="10" fillId="8" borderId="31" xfId="0" applyNumberFormat="1" applyFont="1" applyFill="1" applyBorder="1" applyAlignment="1" applyProtection="1">
      <alignment horizontal="center" vertical="center" wrapText="1"/>
      <protection locked="0"/>
    </xf>
    <xf numFmtId="0" fontId="10" fillId="0" borderId="31" xfId="0" applyFont="1" applyBorder="1" applyAlignment="1" applyProtection="1">
      <alignment horizontal="center" vertical="center" wrapText="1"/>
      <protection locked="0"/>
    </xf>
    <xf numFmtId="0" fontId="50" fillId="11" borderId="4" xfId="0" applyFont="1" applyFill="1" applyBorder="1" applyAlignment="1">
      <alignment horizontal="center" vertical="center" wrapText="1"/>
    </xf>
    <xf numFmtId="0" fontId="50" fillId="11" borderId="5" xfId="0" applyFont="1" applyFill="1" applyBorder="1" applyAlignment="1">
      <alignment horizontal="center" vertical="center" wrapText="1"/>
    </xf>
    <xf numFmtId="0" fontId="50" fillId="11" borderId="19" xfId="0" applyFont="1" applyFill="1" applyBorder="1" applyAlignment="1">
      <alignment horizontal="center" vertical="center" wrapText="1"/>
    </xf>
    <xf numFmtId="0" fontId="50" fillId="11" borderId="21" xfId="0" applyFont="1" applyFill="1" applyBorder="1" applyAlignment="1">
      <alignment horizontal="center" vertical="center" wrapText="1"/>
    </xf>
    <xf numFmtId="49" fontId="91" fillId="0" borderId="16" xfId="0" applyNumberFormat="1" applyFont="1" applyBorder="1" applyAlignment="1">
      <alignment horizontal="left" vertical="top" wrapText="1" indent="2"/>
    </xf>
    <xf numFmtId="0" fontId="91" fillId="0" borderId="17" xfId="0" applyFont="1" applyBorder="1" applyAlignment="1">
      <alignment horizontal="left" vertical="top" wrapText="1" indent="2"/>
    </xf>
    <xf numFmtId="0" fontId="91" fillId="0" borderId="18" xfId="0" applyFont="1" applyBorder="1" applyAlignment="1">
      <alignment horizontal="left" vertical="top" wrapText="1" indent="2"/>
    </xf>
    <xf numFmtId="49" fontId="0" fillId="0" borderId="16" xfId="0" applyNumberFormat="1" applyBorder="1" applyAlignment="1">
      <alignment horizontal="left" vertical="top" wrapText="1" indent="2"/>
    </xf>
    <xf numFmtId="0" fontId="8" fillId="11" borderId="1" xfId="0" applyFont="1" applyFill="1" applyBorder="1" applyAlignment="1">
      <alignment horizontal="center" vertical="top" wrapText="1"/>
    </xf>
    <xf numFmtId="0" fontId="25" fillId="15" borderId="19" xfId="0" applyFont="1" applyFill="1" applyBorder="1" applyAlignment="1">
      <alignment vertical="center" wrapText="1"/>
    </xf>
    <xf numFmtId="0" fontId="25" fillId="15" borderId="20" xfId="0" applyFont="1" applyFill="1" applyBorder="1" applyAlignment="1">
      <alignment vertical="center" wrapText="1"/>
    </xf>
    <xf numFmtId="0" fontId="25" fillId="15" borderId="21" xfId="0" applyFont="1" applyFill="1" applyBorder="1" applyAlignment="1">
      <alignment vertical="center" wrapText="1"/>
    </xf>
    <xf numFmtId="0" fontId="77" fillId="0" borderId="55" xfId="0" applyFont="1" applyBorder="1" applyAlignment="1">
      <alignment vertical="top" wrapText="1"/>
    </xf>
    <xf numFmtId="0" fontId="10" fillId="0" borderId="0" xfId="0" applyFont="1" applyAlignment="1">
      <alignment horizontal="left" vertical="top" indent="4"/>
    </xf>
    <xf numFmtId="0" fontId="22" fillId="0" borderId="0" xfId="0" applyFont="1" applyAlignment="1">
      <alignment vertical="top"/>
    </xf>
    <xf numFmtId="0" fontId="0" fillId="0" borderId="0" xfId="0" applyAlignment="1">
      <alignment vertical="top"/>
    </xf>
    <xf numFmtId="0" fontId="33" fillId="0" borderId="0" xfId="0" applyFont="1" applyAlignment="1">
      <alignment vertical="top"/>
    </xf>
    <xf numFmtId="0" fontId="10" fillId="0" borderId="0" xfId="0" applyFont="1" applyAlignment="1">
      <alignment vertical="top"/>
    </xf>
    <xf numFmtId="0" fontId="0" fillId="0" borderId="0" xfId="0" applyAlignment="1">
      <alignment horizontal="left" vertical="top" indent="2"/>
    </xf>
    <xf numFmtId="0" fontId="0" fillId="8" borderId="31" xfId="0" applyFill="1" applyBorder="1" applyAlignment="1" applyProtection="1">
      <alignment horizontal="left" vertical="top" indent="1"/>
      <protection locked="0"/>
    </xf>
    <xf numFmtId="0" fontId="0" fillId="8" borderId="31" xfId="0" applyFill="1" applyBorder="1" applyAlignment="1" applyProtection="1">
      <alignment horizontal="left" vertical="center" indent="1"/>
      <protection locked="0"/>
    </xf>
    <xf numFmtId="0" fontId="48" fillId="0" borderId="31" xfId="0" applyFont="1" applyBorder="1" applyAlignment="1">
      <alignment horizontal="left" wrapText="1"/>
    </xf>
    <xf numFmtId="0" fontId="29" fillId="33" borderId="31" xfId="0" applyFont="1" applyFill="1" applyBorder="1" applyAlignment="1">
      <alignment horizontal="center"/>
    </xf>
    <xf numFmtId="0" fontId="29" fillId="0" borderId="31" xfId="0" applyFont="1" applyBorder="1" applyAlignment="1">
      <alignment horizontal="center"/>
    </xf>
    <xf numFmtId="0" fontId="0" fillId="0" borderId="31" xfId="0" applyBorder="1" applyAlignment="1">
      <alignment horizontal="center" vertical="center" textRotation="90" wrapText="1"/>
    </xf>
    <xf numFmtId="0" fontId="0" fillId="0" borderId="31" xfId="0" applyBorder="1" applyAlignment="1">
      <alignment horizontal="left" vertical="center" indent="1"/>
    </xf>
    <xf numFmtId="0" fontId="48" fillId="0" borderId="31" xfId="0" applyFont="1" applyBorder="1" applyAlignment="1">
      <alignment horizontal="left" vertical="center" indent="1"/>
    </xf>
    <xf numFmtId="0" fontId="0" fillId="0" borderId="31" xfId="0" applyBorder="1" applyAlignment="1">
      <alignment vertical="center"/>
    </xf>
    <xf numFmtId="0" fontId="17" fillId="0" borderId="31" xfId="0" applyFont="1" applyBorder="1" applyAlignment="1">
      <alignment horizontal="center" vertical="center" wrapText="1"/>
    </xf>
    <xf numFmtId="0" fontId="0" fillId="0" borderId="31" xfId="0" applyBorder="1" applyAlignment="1">
      <alignment horizontal="center"/>
    </xf>
    <xf numFmtId="0" fontId="0" fillId="0" borderId="31" xfId="0" applyBorder="1" applyAlignment="1">
      <alignment horizontal="left"/>
    </xf>
    <xf numFmtId="170" fontId="0" fillId="8" borderId="31" xfId="0" applyNumberFormat="1" applyFill="1" applyBorder="1" applyAlignment="1" applyProtection="1">
      <alignment horizontal="left" vertical="center" indent="1"/>
      <protection locked="0"/>
    </xf>
    <xf numFmtId="0" fontId="0" fillId="8" borderId="31" xfId="0" applyFill="1" applyBorder="1" applyAlignment="1" applyProtection="1">
      <alignment horizontal="center" vertical="center"/>
      <protection locked="0"/>
    </xf>
    <xf numFmtId="0" fontId="0" fillId="0" borderId="31" xfId="0" applyBorder="1" applyAlignment="1" applyProtection="1">
      <alignment horizontal="center" vertical="center"/>
      <protection locked="0"/>
    </xf>
    <xf numFmtId="0" fontId="29" fillId="33" borderId="31" xfId="0" applyFont="1" applyFill="1" applyBorder="1" applyAlignment="1">
      <alignment horizontal="center" wrapText="1"/>
    </xf>
    <xf numFmtId="0" fontId="0" fillId="8" borderId="31" xfId="0" applyFill="1" applyBorder="1" applyAlignment="1" applyProtection="1">
      <alignment horizontal="left" wrapText="1" indent="1"/>
      <protection locked="0"/>
    </xf>
    <xf numFmtId="0" fontId="10" fillId="0" borderId="31" xfId="0" applyFont="1" applyBorder="1"/>
    <xf numFmtId="0" fontId="0" fillId="0" borderId="84" xfId="0" applyBorder="1" applyAlignment="1">
      <alignment horizontal="left" vertical="top" indent="1" shrinkToFit="1"/>
    </xf>
    <xf numFmtId="0" fontId="0" fillId="0" borderId="17" xfId="0" applyBorder="1" applyAlignment="1">
      <alignment horizontal="left" vertical="top" indent="1" shrinkToFit="1"/>
    </xf>
    <xf numFmtId="0" fontId="0" fillId="0" borderId="78" xfId="0" applyBorder="1" applyAlignment="1">
      <alignment horizontal="left" vertical="top" indent="1" shrinkToFit="1"/>
    </xf>
    <xf numFmtId="0" fontId="0" fillId="8" borderId="84" xfId="0" applyFill="1" applyBorder="1" applyAlignment="1" applyProtection="1">
      <alignment horizontal="left" vertical="center" wrapText="1" indent="1"/>
      <protection locked="0"/>
    </xf>
    <xf numFmtId="0" fontId="0" fillId="8" borderId="17" xfId="0" applyFill="1" applyBorder="1" applyAlignment="1" applyProtection="1">
      <alignment horizontal="left" vertical="center" wrapText="1" indent="1"/>
      <protection locked="0"/>
    </xf>
    <xf numFmtId="0" fontId="0" fillId="8" borderId="78" xfId="0" applyFill="1" applyBorder="1" applyAlignment="1" applyProtection="1">
      <alignment horizontal="left" vertical="center" wrapText="1" indent="1"/>
      <protection locked="0"/>
    </xf>
    <xf numFmtId="0" fontId="0" fillId="0" borderId="84" xfId="0" applyBorder="1"/>
    <xf numFmtId="0" fontId="0" fillId="0" borderId="78" xfId="0" applyBorder="1"/>
    <xf numFmtId="0" fontId="8" fillId="9" borderId="84" xfId="0" applyFont="1" applyFill="1" applyBorder="1" applyAlignment="1">
      <alignment horizontal="left" vertical="center" indent="1"/>
    </xf>
    <xf numFmtId="0" fontId="8" fillId="9" borderId="17" xfId="0" applyFont="1" applyFill="1" applyBorder="1" applyAlignment="1">
      <alignment horizontal="left" vertical="center" indent="1"/>
    </xf>
    <xf numFmtId="0" fontId="8" fillId="9" borderId="78" xfId="0" applyFont="1" applyFill="1" applyBorder="1" applyAlignment="1">
      <alignment horizontal="left" vertical="center" indent="1"/>
    </xf>
    <xf numFmtId="0" fontId="0" fillId="0" borderId="79" xfId="0" applyBorder="1"/>
    <xf numFmtId="0" fontId="0" fillId="0" borderId="100" xfId="0" applyBorder="1"/>
    <xf numFmtId="164" fontId="0" fillId="8" borderId="16" xfId="0" applyNumberFormat="1" applyFill="1" applyBorder="1" applyAlignment="1" applyProtection="1">
      <alignment horizontal="center" vertical="center"/>
      <protection locked="0"/>
    </xf>
    <xf numFmtId="164" fontId="0" fillId="8" borderId="18" xfId="0" applyNumberFormat="1" applyFill="1" applyBorder="1" applyAlignment="1" applyProtection="1">
      <alignment horizontal="center" vertical="center"/>
      <protection locked="0"/>
    </xf>
    <xf numFmtId="0" fontId="0" fillId="0" borderId="18" xfId="0" applyBorder="1" applyAlignment="1">
      <alignment horizontal="center" vertical="center" shrinkToFit="1"/>
    </xf>
    <xf numFmtId="0" fontId="0" fillId="8" borderId="16" xfId="0" applyFill="1" applyBorder="1" applyAlignment="1" applyProtection="1">
      <alignment horizontal="left" vertical="top" wrapText="1"/>
      <protection locked="0"/>
    </xf>
    <xf numFmtId="0" fontId="0" fillId="8" borderId="17" xfId="0" applyFill="1" applyBorder="1" applyAlignment="1" applyProtection="1">
      <alignment horizontal="left" vertical="top" wrapText="1"/>
      <protection locked="0"/>
    </xf>
    <xf numFmtId="0" fontId="0" fillId="8" borderId="78" xfId="0" applyFill="1" applyBorder="1" applyAlignment="1" applyProtection="1">
      <alignment horizontal="left" vertical="top" wrapText="1"/>
      <protection locked="0"/>
    </xf>
    <xf numFmtId="0" fontId="0" fillId="8" borderId="84" xfId="0" applyFill="1" applyBorder="1" applyAlignment="1" applyProtection="1">
      <alignment horizontal="left" vertical="top" indent="1" shrinkToFit="1"/>
      <protection locked="0"/>
    </xf>
    <xf numFmtId="0" fontId="0" fillId="8" borderId="17" xfId="0" applyFill="1" applyBorder="1" applyAlignment="1" applyProtection="1">
      <alignment horizontal="left" vertical="top" indent="1" shrinkToFit="1"/>
      <protection locked="0"/>
    </xf>
    <xf numFmtId="0" fontId="0" fillId="8" borderId="18" xfId="0" applyFill="1" applyBorder="1" applyAlignment="1" applyProtection="1">
      <alignment horizontal="left" vertical="top" indent="1" shrinkToFit="1"/>
      <protection locked="0"/>
    </xf>
    <xf numFmtId="0" fontId="0" fillId="0" borderId="84" xfId="0" applyBorder="1" applyAlignment="1">
      <alignment horizontal="right" vertical="center"/>
    </xf>
    <xf numFmtId="0" fontId="0" fillId="0" borderId="17" xfId="0" applyBorder="1" applyAlignment="1">
      <alignment horizontal="right" vertical="center"/>
    </xf>
    <xf numFmtId="0" fontId="0" fillId="0" borderId="18" xfId="0" applyBorder="1" applyAlignment="1">
      <alignment horizontal="right" vertical="center"/>
    </xf>
    <xf numFmtId="0" fontId="7" fillId="0" borderId="16" xfId="0" applyFont="1" applyBorder="1" applyAlignment="1">
      <alignment horizontal="left" vertical="center"/>
    </xf>
    <xf numFmtId="0" fontId="10" fillId="0" borderId="17" xfId="0" applyFont="1" applyBorder="1" applyAlignment="1">
      <alignment horizontal="left"/>
    </xf>
    <xf numFmtId="0" fontId="10" fillId="0" borderId="78" xfId="0" applyFont="1" applyBorder="1" applyAlignment="1">
      <alignment horizontal="left"/>
    </xf>
    <xf numFmtId="49" fontId="0" fillId="8" borderId="16" xfId="0" applyNumberFormat="1" applyFill="1" applyBorder="1" applyAlignment="1" applyProtection="1">
      <alignment horizontal="left" vertical="top" indent="1" shrinkToFit="1"/>
      <protection locked="0"/>
    </xf>
    <xf numFmtId="49" fontId="0" fillId="0" borderId="17" xfId="0" applyNumberFormat="1" applyBorder="1" applyAlignment="1" applyProtection="1">
      <alignment horizontal="left" shrinkToFit="1"/>
      <protection locked="0"/>
    </xf>
    <xf numFmtId="49" fontId="0" fillId="0" borderId="78" xfId="0" applyNumberFormat="1" applyBorder="1" applyAlignment="1" applyProtection="1">
      <alignment horizontal="left" shrinkToFit="1"/>
      <protection locked="0"/>
    </xf>
    <xf numFmtId="0" fontId="0" fillId="3" borderId="84" xfId="0" applyFill="1" applyBorder="1" applyAlignment="1">
      <alignment horizontal="left" vertical="center" wrapText="1" indent="1"/>
    </xf>
    <xf numFmtId="0" fontId="0" fillId="3" borderId="17" xfId="0" applyFill="1" applyBorder="1" applyAlignment="1">
      <alignment horizontal="left" vertical="center" wrapText="1" indent="1"/>
    </xf>
    <xf numFmtId="0" fontId="0" fillId="3" borderId="78" xfId="0" applyFill="1" applyBorder="1" applyAlignment="1">
      <alignment horizontal="left" vertical="center" wrapText="1" indent="1"/>
    </xf>
    <xf numFmtId="0" fontId="0" fillId="0" borderId="16" xfId="0" applyBorder="1" applyAlignment="1">
      <alignment horizontal="center" wrapText="1"/>
    </xf>
    <xf numFmtId="0" fontId="0" fillId="0" borderId="18" xfId="0" applyBorder="1" applyAlignment="1">
      <alignment horizontal="center" wrapText="1"/>
    </xf>
    <xf numFmtId="0" fontId="0" fillId="0" borderId="17" xfId="0" applyBorder="1" applyAlignment="1">
      <alignment horizontal="center" wrapText="1"/>
    </xf>
    <xf numFmtId="0" fontId="0" fillId="0" borderId="78" xfId="0" applyBorder="1" applyAlignment="1">
      <alignment horizontal="center" wrapText="1"/>
    </xf>
    <xf numFmtId="0" fontId="11" fillId="9" borderId="17" xfId="0" applyFont="1" applyFill="1" applyBorder="1" applyAlignment="1">
      <alignment horizontal="left" vertical="center" indent="1"/>
    </xf>
    <xf numFmtId="0" fontId="11" fillId="9" borderId="78" xfId="0" applyFont="1" applyFill="1" applyBorder="1" applyAlignment="1">
      <alignment horizontal="left" vertical="center" indent="1"/>
    </xf>
    <xf numFmtId="0" fontId="0" fillId="0" borderId="84" xfId="0"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0" fillId="8" borderId="16" xfId="0" applyFill="1" applyBorder="1" applyAlignment="1" applyProtection="1">
      <alignment horizontal="left" vertical="top" shrinkToFit="1"/>
      <protection locked="0"/>
    </xf>
    <xf numFmtId="0" fontId="0" fillId="8" borderId="17" xfId="0" applyFill="1" applyBorder="1" applyAlignment="1" applyProtection="1">
      <alignment horizontal="left" vertical="top" shrinkToFit="1"/>
      <protection locked="0"/>
    </xf>
    <xf numFmtId="0" fontId="0" fillId="8" borderId="18" xfId="0" applyFill="1" applyBorder="1" applyAlignment="1" applyProtection="1">
      <alignment horizontal="left" vertical="top" shrinkToFit="1"/>
      <protection locked="0"/>
    </xf>
    <xf numFmtId="0" fontId="0" fillId="8" borderId="78" xfId="0" applyFill="1" applyBorder="1" applyAlignment="1" applyProtection="1">
      <alignment horizontal="left" vertical="top" shrinkToFit="1"/>
      <protection locked="0"/>
    </xf>
    <xf numFmtId="0" fontId="7" fillId="0" borderId="17" xfId="0" applyFont="1" applyBorder="1" applyAlignment="1">
      <alignment horizontal="left" vertical="center"/>
    </xf>
    <xf numFmtId="0" fontId="7" fillId="0" borderId="78" xfId="0" applyFont="1" applyBorder="1" applyAlignment="1">
      <alignment horizontal="left" vertical="center"/>
    </xf>
    <xf numFmtId="49" fontId="0" fillId="0" borderId="1" xfId="0" applyNumberFormat="1" applyBorder="1" applyAlignment="1">
      <alignment horizontal="center"/>
    </xf>
    <xf numFmtId="49" fontId="0" fillId="0" borderId="2" xfId="0" applyNumberFormat="1" applyBorder="1" applyAlignment="1">
      <alignment horizontal="center"/>
    </xf>
    <xf numFmtId="49" fontId="0" fillId="0" borderId="60" xfId="0" applyNumberFormat="1" applyBorder="1" applyAlignment="1">
      <alignment horizontal="center"/>
    </xf>
    <xf numFmtId="0" fontId="8" fillId="9" borderId="93" xfId="0" applyFont="1" applyFill="1" applyBorder="1" applyAlignment="1">
      <alignment horizontal="left" vertical="center" indent="1"/>
    </xf>
    <xf numFmtId="0" fontId="8" fillId="9" borderId="2" xfId="0" applyFont="1" applyFill="1" applyBorder="1" applyAlignment="1">
      <alignment horizontal="left" vertical="center" indent="1"/>
    </xf>
    <xf numFmtId="0" fontId="8" fillId="9" borderId="60" xfId="0" applyFont="1" applyFill="1" applyBorder="1" applyAlignment="1">
      <alignment horizontal="left" vertical="center" indent="1"/>
    </xf>
    <xf numFmtId="0" fontId="74" fillId="3" borderId="77" xfId="0" applyFont="1" applyFill="1" applyBorder="1" applyAlignment="1">
      <alignment horizontal="left" vertical="center" wrapText="1" indent="1"/>
    </xf>
    <xf numFmtId="0" fontId="0" fillId="3" borderId="0" xfId="0" applyFill="1" applyAlignment="1">
      <alignment horizontal="left" vertical="center" wrapText="1" indent="1"/>
    </xf>
    <xf numFmtId="0" fontId="0" fillId="3" borderId="63" xfId="0" applyFill="1" applyBorder="1" applyAlignment="1">
      <alignment horizontal="left" vertical="center" wrapText="1" indent="1"/>
    </xf>
    <xf numFmtId="0" fontId="0" fillId="0" borderId="71" xfId="0" applyBorder="1" applyAlignment="1">
      <alignment horizontal="center" wrapText="1"/>
    </xf>
    <xf numFmtId="0" fontId="0" fillId="0" borderId="79" xfId="0" applyBorder="1" applyAlignment="1">
      <alignment horizontal="center" wrapText="1"/>
    </xf>
    <xf numFmtId="0" fontId="0" fillId="0" borderId="89" xfId="0" applyBorder="1" applyAlignment="1">
      <alignment horizontal="center" wrapText="1"/>
    </xf>
    <xf numFmtId="0" fontId="0" fillId="0" borderId="31" xfId="0" applyBorder="1" applyAlignment="1">
      <alignment horizontal="center" wrapText="1"/>
    </xf>
    <xf numFmtId="0" fontId="76" fillId="0" borderId="89" xfId="0" applyFont="1" applyBorder="1" applyAlignment="1">
      <alignment horizontal="center" wrapText="1"/>
    </xf>
    <xf numFmtId="0" fontId="76" fillId="0" borderId="31" xfId="0" applyFont="1" applyBorder="1" applyAlignment="1">
      <alignment horizontal="center" wrapText="1"/>
    </xf>
    <xf numFmtId="0" fontId="0" fillId="0" borderId="6" xfId="0" applyBorder="1" applyAlignment="1">
      <alignment horizontal="center" wrapText="1"/>
    </xf>
    <xf numFmtId="0" fontId="0" fillId="0" borderId="7" xfId="0" applyBorder="1" applyAlignment="1">
      <alignment horizontal="center" wrapText="1"/>
    </xf>
    <xf numFmtId="0" fontId="0" fillId="0" borderId="6" xfId="0" applyBorder="1" applyAlignment="1">
      <alignment horizontal="center"/>
    </xf>
    <xf numFmtId="0" fontId="0" fillId="0" borderId="7" xfId="0" applyBorder="1" applyAlignment="1">
      <alignment horizontal="center"/>
    </xf>
    <xf numFmtId="0" fontId="0" fillId="0" borderId="99" xfId="0"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0" borderId="100" xfId="0" applyBorder="1" applyAlignment="1">
      <alignment horizontal="center"/>
    </xf>
    <xf numFmtId="0" fontId="0" fillId="8" borderId="1" xfId="0" applyFill="1" applyBorder="1" applyAlignment="1" applyProtection="1">
      <alignment horizontal="left" vertical="center" indent="1" shrinkToFit="1"/>
      <protection locked="0"/>
    </xf>
    <xf numFmtId="0" fontId="0" fillId="8" borderId="2" xfId="0" applyFill="1" applyBorder="1" applyAlignment="1" applyProtection="1">
      <alignment horizontal="left" vertical="center" indent="1" shrinkToFit="1"/>
      <protection locked="0"/>
    </xf>
    <xf numFmtId="0" fontId="0" fillId="0" borderId="60" xfId="0" applyBorder="1" applyAlignment="1" applyProtection="1">
      <alignment horizontal="left" vertical="center" indent="1" shrinkToFit="1"/>
      <protection locked="0"/>
    </xf>
    <xf numFmtId="0" fontId="0" fillId="8" borderId="31" xfId="0" applyFill="1" applyBorder="1" applyAlignment="1" applyProtection="1">
      <alignment horizontal="left" vertical="center" indent="1" shrinkToFit="1"/>
      <protection locked="0"/>
    </xf>
    <xf numFmtId="0" fontId="0" fillId="0" borderId="31" xfId="0" applyBorder="1" applyAlignment="1" applyProtection="1">
      <alignment horizontal="left" vertical="center" indent="1" shrinkToFit="1"/>
      <protection locked="0"/>
    </xf>
    <xf numFmtId="0" fontId="0" fillId="0" borderId="86" xfId="0" applyBorder="1" applyAlignment="1" applyProtection="1">
      <alignment horizontal="left" vertical="center" indent="1" shrinkToFit="1"/>
      <protection locked="0"/>
    </xf>
    <xf numFmtId="0" fontId="7" fillId="0" borderId="16" xfId="0" applyFont="1" applyBorder="1" applyAlignment="1">
      <alignment horizontal="left" vertical="center" shrinkToFit="1"/>
    </xf>
    <xf numFmtId="0" fontId="7" fillId="0" borderId="17" xfId="0" applyFont="1" applyBorder="1" applyAlignment="1">
      <alignment horizontal="left" vertical="center" shrinkToFit="1"/>
    </xf>
    <xf numFmtId="0" fontId="0" fillId="0" borderId="78" xfId="0" applyBorder="1" applyAlignment="1">
      <alignment horizontal="left" vertical="center" shrinkToFit="1"/>
    </xf>
    <xf numFmtId="0" fontId="7" fillId="0" borderId="16" xfId="0" applyFont="1" applyBorder="1" applyAlignment="1">
      <alignment vertical="center"/>
    </xf>
    <xf numFmtId="0" fontId="7" fillId="0" borderId="17" xfId="0" applyFont="1" applyBorder="1" applyAlignment="1">
      <alignment vertical="center"/>
    </xf>
    <xf numFmtId="0" fontId="0" fillId="0" borderId="17" xfId="0" applyBorder="1" applyAlignment="1">
      <alignment vertical="center"/>
    </xf>
    <xf numFmtId="0" fontId="0" fillId="0" borderId="78" xfId="0" applyBorder="1" applyAlignment="1">
      <alignment vertical="center"/>
    </xf>
    <xf numFmtId="0" fontId="0" fillId="0" borderId="93" xfId="0" applyBorder="1"/>
    <xf numFmtId="0" fontId="0" fillId="0" borderId="2" xfId="0" applyBorder="1"/>
    <xf numFmtId="0" fontId="0" fillId="0" borderId="60" xfId="0" applyBorder="1"/>
    <xf numFmtId="0" fontId="8" fillId="9" borderId="77" xfId="0" applyFont="1" applyFill="1" applyBorder="1" applyAlignment="1">
      <alignment horizontal="left" vertical="center" wrapText="1" indent="1"/>
    </xf>
    <xf numFmtId="0" fontId="11" fillId="9" borderId="0" xfId="0" applyFont="1" applyFill="1" applyAlignment="1">
      <alignment horizontal="left" vertical="center" wrapText="1" indent="1"/>
    </xf>
    <xf numFmtId="0" fontId="0" fillId="0" borderId="63" xfId="0" applyBorder="1" applyAlignment="1">
      <alignment horizontal="left" vertical="center" wrapText="1" indent="1"/>
    </xf>
    <xf numFmtId="0" fontId="74" fillId="3" borderId="84" xfId="0" applyFont="1" applyFill="1" applyBorder="1" applyAlignment="1">
      <alignment horizontal="left" vertical="center" wrapText="1" indent="1"/>
    </xf>
    <xf numFmtId="0" fontId="74" fillId="3" borderId="17" xfId="0" applyFont="1" applyFill="1" applyBorder="1" applyAlignment="1">
      <alignment horizontal="left" vertical="center" wrapText="1" indent="1"/>
    </xf>
    <xf numFmtId="0" fontId="0" fillId="0" borderId="78" xfId="0" applyBorder="1" applyAlignment="1">
      <alignment horizontal="left" vertical="center" wrapText="1" indent="1"/>
    </xf>
    <xf numFmtId="0" fontId="0" fillId="0" borderId="4" xfId="0" applyBorder="1" applyAlignment="1">
      <alignment horizontal="center" vertical="center" wrapText="1"/>
    </xf>
    <xf numFmtId="0" fontId="0" fillId="0" borderId="0" xfId="0" applyAlignment="1">
      <alignment horizontal="center" vertical="center" wrapText="1"/>
    </xf>
    <xf numFmtId="0" fontId="0" fillId="0" borderId="63" xfId="0" applyBorder="1" applyAlignment="1">
      <alignment horizontal="center" vertical="center" wrapText="1"/>
    </xf>
    <xf numFmtId="0" fontId="0" fillId="8" borderId="31" xfId="0" applyFill="1" applyBorder="1" applyAlignment="1" applyProtection="1">
      <alignment horizontal="left" vertical="top" wrapText="1"/>
      <protection locked="0"/>
    </xf>
    <xf numFmtId="2" fontId="34" fillId="8" borderId="31" xfId="0" applyNumberFormat="1" applyFont="1" applyFill="1" applyBorder="1" applyAlignment="1" applyProtection="1">
      <alignment horizontal="center"/>
      <protection locked="0"/>
    </xf>
    <xf numFmtId="2" fontId="0" fillId="8" borderId="31" xfId="0" applyNumberFormat="1" applyFill="1" applyBorder="1" applyAlignment="1" applyProtection="1">
      <alignment horizontal="center"/>
      <protection locked="0"/>
    </xf>
    <xf numFmtId="0" fontId="0" fillId="8" borderId="16" xfId="0" applyFill="1" applyBorder="1" applyAlignment="1" applyProtection="1">
      <alignment vertical="top" wrapText="1"/>
      <protection locked="0"/>
    </xf>
    <xf numFmtId="0" fontId="0" fillId="8" borderId="17" xfId="0" applyFill="1" applyBorder="1" applyAlignment="1" applyProtection="1">
      <alignment vertical="top" wrapText="1"/>
      <protection locked="0"/>
    </xf>
    <xf numFmtId="0" fontId="0" fillId="8" borderId="78" xfId="0" applyFill="1" applyBorder="1" applyAlignment="1" applyProtection="1">
      <alignment vertical="top" wrapText="1"/>
      <protection locked="0"/>
    </xf>
    <xf numFmtId="0" fontId="34" fillId="0" borderId="16" xfId="0" applyFont="1" applyBorder="1" applyAlignment="1">
      <alignment horizontal="center" wrapText="1"/>
    </xf>
    <xf numFmtId="0" fontId="0" fillId="8" borderId="82" xfId="0" applyFill="1" applyBorder="1" applyAlignment="1" applyProtection="1">
      <alignment horizontal="left" vertical="top" shrinkToFit="1"/>
      <protection locked="0"/>
    </xf>
    <xf numFmtId="0" fontId="0" fillId="8" borderId="61" xfId="0" applyFill="1" applyBorder="1" applyAlignment="1" applyProtection="1">
      <alignment horizontal="left" vertical="top" shrinkToFit="1"/>
      <protection locked="0"/>
    </xf>
    <xf numFmtId="0" fontId="0" fillId="8" borderId="81" xfId="0" applyFill="1" applyBorder="1" applyAlignment="1" applyProtection="1">
      <alignment horizontal="left" vertical="top" shrinkToFit="1"/>
      <protection locked="0"/>
    </xf>
    <xf numFmtId="2" fontId="0" fillId="8" borderId="82" xfId="0" applyNumberFormat="1" applyFill="1" applyBorder="1" applyAlignment="1" applyProtection="1">
      <alignment horizontal="center"/>
      <protection locked="0"/>
    </xf>
    <xf numFmtId="2" fontId="0" fillId="8" borderId="61" xfId="0" applyNumberFormat="1" applyFill="1" applyBorder="1" applyAlignment="1" applyProtection="1">
      <alignment horizontal="center"/>
      <protection locked="0"/>
    </xf>
    <xf numFmtId="0" fontId="18" fillId="8" borderId="82" xfId="0" applyFont="1" applyFill="1" applyBorder="1" applyAlignment="1" applyProtection="1">
      <alignment horizontal="left" vertical="top" wrapText="1"/>
      <protection locked="0"/>
    </xf>
    <xf numFmtId="0" fontId="18" fillId="8" borderId="61" xfId="0" applyFont="1" applyFill="1" applyBorder="1" applyAlignment="1" applyProtection="1">
      <alignment horizontal="left" vertical="top" wrapText="1"/>
      <protection locked="0"/>
    </xf>
    <xf numFmtId="0" fontId="18" fillId="8" borderId="83" xfId="0" applyFont="1" applyFill="1" applyBorder="1" applyAlignment="1" applyProtection="1">
      <alignment horizontal="left" vertical="top" wrapText="1"/>
      <protection locked="0"/>
    </xf>
    <xf numFmtId="0" fontId="7" fillId="0" borderId="74" xfId="0" applyFont="1" applyBorder="1" applyAlignment="1">
      <alignment horizontal="left" vertical="center" shrinkToFit="1"/>
    </xf>
    <xf numFmtId="0" fontId="7" fillId="0" borderId="75" xfId="0" applyFont="1" applyBorder="1" applyAlignment="1">
      <alignment horizontal="left" vertical="center" shrinkToFit="1"/>
    </xf>
    <xf numFmtId="2" fontId="0" fillId="8" borderId="16" xfId="0" applyNumberFormat="1" applyFill="1" applyBorder="1" applyAlignment="1" applyProtection="1">
      <alignment horizontal="center"/>
      <protection locked="0"/>
    </xf>
    <xf numFmtId="2" fontId="0" fillId="8" borderId="17" xfId="0" applyNumberFormat="1" applyFill="1" applyBorder="1" applyAlignment="1" applyProtection="1">
      <alignment horizontal="center"/>
      <protection locked="0"/>
    </xf>
    <xf numFmtId="0" fontId="18" fillId="8" borderId="16" xfId="0" applyFont="1" applyFill="1" applyBorder="1" applyAlignment="1" applyProtection="1">
      <alignment horizontal="left" vertical="top" wrapText="1"/>
      <protection locked="0"/>
    </xf>
    <xf numFmtId="0" fontId="18" fillId="8" borderId="17" xfId="0" applyFont="1" applyFill="1" applyBorder="1" applyAlignment="1" applyProtection="1">
      <alignment horizontal="left" vertical="top" wrapText="1"/>
      <protection locked="0"/>
    </xf>
    <xf numFmtId="0" fontId="18" fillId="8" borderId="78" xfId="0" applyFont="1" applyFill="1" applyBorder="1" applyAlignment="1" applyProtection="1">
      <alignment horizontal="left" vertical="top" wrapText="1"/>
      <protection locked="0"/>
    </xf>
    <xf numFmtId="0" fontId="10" fillId="0" borderId="17" xfId="0" applyFont="1" applyBorder="1" applyAlignment="1">
      <alignment vertical="center"/>
    </xf>
    <xf numFmtId="0" fontId="10" fillId="0" borderId="78" xfId="0" applyFont="1" applyBorder="1" applyAlignment="1">
      <alignment vertical="center"/>
    </xf>
    <xf numFmtId="0" fontId="0" fillId="0" borderId="8" xfId="0" applyBorder="1" applyAlignment="1">
      <alignment horizontal="center" wrapText="1"/>
    </xf>
    <xf numFmtId="0" fontId="0" fillId="0" borderId="90" xfId="0" applyBorder="1" applyAlignment="1">
      <alignment horizontal="center" wrapText="1"/>
    </xf>
    <xf numFmtId="0" fontId="0" fillId="0" borderId="75" xfId="0" applyBorder="1" applyAlignment="1">
      <alignment horizontal="center" wrapText="1"/>
    </xf>
    <xf numFmtId="0" fontId="0" fillId="0" borderId="76" xfId="0" applyBorder="1" applyAlignment="1">
      <alignment horizontal="center" wrapText="1"/>
    </xf>
    <xf numFmtId="0" fontId="0" fillId="0" borderId="92" xfId="0" applyBorder="1" applyAlignment="1">
      <alignment vertical="top"/>
    </xf>
    <xf numFmtId="0" fontId="0" fillId="0" borderId="17" xfId="0" applyBorder="1" applyAlignment="1">
      <alignment vertical="top"/>
    </xf>
    <xf numFmtId="0" fontId="0" fillId="0" borderId="78" xfId="0" applyBorder="1" applyAlignment="1">
      <alignment vertical="top"/>
    </xf>
    <xf numFmtId="0" fontId="0" fillId="0" borderId="78" xfId="0" applyBorder="1" applyAlignment="1">
      <alignment horizontal="left" vertical="center" indent="1" shrinkToFit="1"/>
    </xf>
    <xf numFmtId="0" fontId="0" fillId="0" borderId="29" xfId="0" applyBorder="1" applyAlignment="1">
      <alignment horizontal="left" vertical="center" indent="1"/>
    </xf>
    <xf numFmtId="0" fontId="0" fillId="0" borderId="30" xfId="0" applyBorder="1" applyAlignment="1">
      <alignment horizontal="left" vertical="center" indent="1"/>
    </xf>
    <xf numFmtId="49" fontId="0" fillId="0" borderId="85" xfId="0" applyNumberFormat="1" applyBorder="1" applyAlignment="1">
      <alignment horizontal="left" vertical="center" wrapText="1" indent="1"/>
    </xf>
    <xf numFmtId="49" fontId="0" fillId="0" borderId="32" xfId="0" applyNumberFormat="1" applyBorder="1" applyAlignment="1">
      <alignment horizontal="left" vertical="center" wrapText="1" indent="1"/>
    </xf>
    <xf numFmtId="49" fontId="0" fillId="0" borderId="87" xfId="0" applyNumberFormat="1" applyBorder="1" applyAlignment="1">
      <alignment horizontal="left" vertical="center" wrapText="1" indent="1"/>
    </xf>
    <xf numFmtId="49" fontId="0" fillId="0" borderId="33" xfId="0" applyNumberFormat="1" applyBorder="1" applyAlignment="1">
      <alignment horizontal="left" vertical="center" wrapText="1" indent="1"/>
    </xf>
    <xf numFmtId="49" fontId="0" fillId="8" borderId="1" xfId="0" applyNumberFormat="1" applyFill="1" applyBorder="1" applyAlignment="1" applyProtection="1">
      <alignment horizontal="center" vertical="center" wrapText="1"/>
      <protection locked="0"/>
    </xf>
    <xf numFmtId="49" fontId="0" fillId="8" borderId="33" xfId="0" applyNumberFormat="1" applyFill="1" applyBorder="1" applyAlignment="1" applyProtection="1">
      <alignment horizontal="center" vertical="center" wrapText="1"/>
      <protection locked="0"/>
    </xf>
    <xf numFmtId="0" fontId="48" fillId="0" borderId="31" xfId="0" applyFont="1" applyBorder="1" applyAlignment="1">
      <alignment horizontal="left" vertical="center" wrapText="1" indent="1"/>
    </xf>
    <xf numFmtId="0" fontId="0" fillId="0" borderId="16" xfId="0" applyBorder="1" applyAlignment="1">
      <alignment horizontal="left" vertical="center" wrapText="1" indent="1"/>
    </xf>
    <xf numFmtId="0" fontId="0" fillId="8" borderId="16" xfId="0" applyFill="1" applyBorder="1" applyAlignment="1" applyProtection="1">
      <alignment horizontal="left" vertical="center" wrapText="1" indent="1"/>
      <protection locked="0"/>
    </xf>
    <xf numFmtId="0" fontId="29" fillId="0" borderId="74" xfId="0" applyFont="1" applyBorder="1" applyAlignment="1">
      <alignment horizontal="left" vertical="center" wrapText="1" indent="3"/>
    </xf>
    <xf numFmtId="0" fontId="2" fillId="0" borderId="75" xfId="0" applyFont="1" applyBorder="1" applyAlignment="1">
      <alignment horizontal="left" vertical="center" wrapText="1" indent="3"/>
    </xf>
    <xf numFmtId="0" fontId="10" fillId="0" borderId="74" xfId="0" applyFont="1" applyBorder="1" applyAlignment="1">
      <alignment horizontal="center" vertical="center" wrapText="1"/>
    </xf>
    <xf numFmtId="0" fontId="0" fillId="0" borderId="75" xfId="0" applyBorder="1" applyAlignment="1">
      <alignment vertical="center" wrapText="1"/>
    </xf>
    <xf numFmtId="0" fontId="2" fillId="0" borderId="74" xfId="0" applyFont="1" applyBorder="1" applyAlignment="1">
      <alignment horizontal="center" vertical="center" wrapText="1"/>
    </xf>
    <xf numFmtId="0" fontId="2" fillId="0" borderId="75" xfId="0" applyFont="1" applyBorder="1" applyAlignment="1">
      <alignment horizontal="center" vertical="center" wrapText="1"/>
    </xf>
    <xf numFmtId="0" fontId="2" fillId="0" borderId="76" xfId="0" applyFont="1" applyBorder="1" applyAlignment="1">
      <alignment horizontal="center" vertical="center" wrapText="1"/>
    </xf>
    <xf numFmtId="0" fontId="0" fillId="0" borderId="140" xfId="0" applyBorder="1" applyAlignment="1">
      <alignment horizontal="left" vertical="top" indent="1" shrinkToFit="1"/>
    </xf>
    <xf numFmtId="0" fontId="0" fillId="0" borderId="126" xfId="0" applyBorder="1" applyAlignment="1">
      <alignment horizontal="left" vertical="top" indent="1" shrinkToFit="1"/>
    </xf>
    <xf numFmtId="0" fontId="0" fillId="0" borderId="141" xfId="0" applyBorder="1" applyAlignment="1">
      <alignment horizontal="left" vertical="top" indent="1" shrinkToFit="1"/>
    </xf>
    <xf numFmtId="0" fontId="0" fillId="0" borderId="118" xfId="0" applyBorder="1"/>
    <xf numFmtId="0" fontId="0" fillId="0" borderId="7" xfId="0" applyBorder="1"/>
    <xf numFmtId="0" fontId="0" fillId="0" borderId="120" xfId="0" applyBorder="1"/>
    <xf numFmtId="0" fontId="57" fillId="0" borderId="7" xfId="0" applyFont="1" applyBorder="1" applyAlignment="1">
      <alignment horizontal="center" wrapText="1"/>
    </xf>
    <xf numFmtId="0" fontId="57" fillId="0" borderId="0" xfId="0" applyFont="1" applyAlignment="1">
      <alignment horizontal="center" wrapText="1"/>
    </xf>
    <xf numFmtId="0" fontId="18" fillId="0" borderId="7" xfId="0" applyFont="1" applyBorder="1" applyAlignment="1">
      <alignment horizontal="center" wrapText="1"/>
    </xf>
    <xf numFmtId="0" fontId="18" fillId="0" borderId="7" xfId="0" applyFont="1" applyBorder="1" applyAlignment="1">
      <alignment horizontal="left" shrinkToFit="1"/>
    </xf>
    <xf numFmtId="0" fontId="18" fillId="0" borderId="0" xfId="0" applyFont="1" applyAlignment="1">
      <alignment horizontal="left" shrinkToFit="1"/>
    </xf>
    <xf numFmtId="0" fontId="27" fillId="0" borderId="7" xfId="0" applyFont="1" applyBorder="1" applyAlignment="1">
      <alignment horizontal="center" vertical="center" wrapText="1"/>
    </xf>
    <xf numFmtId="0" fontId="0" fillId="0" borderId="119" xfId="0" applyBorder="1" applyAlignment="1">
      <alignment horizontal="center" vertical="center" wrapText="1"/>
    </xf>
    <xf numFmtId="0" fontId="0" fillId="0" borderId="121" xfId="0" applyBorder="1" applyAlignment="1">
      <alignment horizontal="center" vertical="center" wrapText="1"/>
    </xf>
    <xf numFmtId="0" fontId="10" fillId="0" borderId="1" xfId="0" applyFont="1" applyBorder="1" applyAlignment="1">
      <alignment horizontal="right" vertical="center" indent="1" shrinkToFit="1"/>
    </xf>
    <xf numFmtId="0" fontId="0" fillId="0" borderId="2" xfId="0" applyBorder="1" applyAlignment="1">
      <alignment horizontal="right" vertical="center" indent="1" shrinkToFit="1"/>
    </xf>
    <xf numFmtId="0" fontId="6" fillId="0" borderId="16" xfId="1" applyNumberFormat="1" applyFont="1" applyFill="1" applyBorder="1" applyAlignment="1" applyProtection="1">
      <alignment horizontal="left" indent="1"/>
    </xf>
    <xf numFmtId="0" fontId="6" fillId="0" borderId="17" xfId="0" applyFont="1" applyBorder="1" applyAlignment="1">
      <alignment horizontal="left" indent="1"/>
    </xf>
    <xf numFmtId="0" fontId="6" fillId="0" borderId="78" xfId="0" applyFont="1" applyBorder="1" applyAlignment="1">
      <alignment horizontal="left" indent="1"/>
    </xf>
    <xf numFmtId="0" fontId="35" fillId="0" borderId="80" xfId="0" applyFont="1" applyBorder="1" applyAlignment="1">
      <alignment horizontal="right" vertical="center" indent="1" shrinkToFit="1"/>
    </xf>
    <xf numFmtId="0" fontId="35" fillId="0" borderId="81" xfId="0" applyFont="1" applyBorder="1" applyAlignment="1">
      <alignment horizontal="right" vertical="center" indent="1" shrinkToFit="1"/>
    </xf>
    <xf numFmtId="0" fontId="0" fillId="0" borderId="82" xfId="0" applyBorder="1" applyAlignment="1">
      <alignment horizontal="left" vertical="center" indent="1" shrinkToFit="1"/>
    </xf>
    <xf numFmtId="0" fontId="0" fillId="0" borderId="61" xfId="0" applyBorder="1" applyAlignment="1">
      <alignment horizontal="left" vertical="center" indent="1" shrinkToFit="1"/>
    </xf>
    <xf numFmtId="0" fontId="0" fillId="0" borderId="81" xfId="0" applyBorder="1" applyAlignment="1">
      <alignment horizontal="left" vertical="center" indent="1" shrinkToFit="1"/>
    </xf>
    <xf numFmtId="0" fontId="10" fillId="0" borderId="82" xfId="0" applyFont="1" applyBorder="1" applyAlignment="1">
      <alignment horizontal="right" vertical="center" indent="1" shrinkToFit="1"/>
    </xf>
    <xf numFmtId="0" fontId="0" fillId="0" borderId="61" xfId="0" applyBorder="1" applyAlignment="1">
      <alignment horizontal="right" vertical="center" indent="1" shrinkToFit="1"/>
    </xf>
    <xf numFmtId="49" fontId="0" fillId="8" borderId="82" xfId="0" applyNumberFormat="1" applyFill="1" applyBorder="1" applyAlignment="1" applyProtection="1">
      <alignment horizontal="left" vertical="center" indent="1" shrinkToFit="1"/>
      <protection locked="0"/>
    </xf>
    <xf numFmtId="49" fontId="0" fillId="8" borderId="61" xfId="0" applyNumberFormat="1" applyFill="1" applyBorder="1" applyAlignment="1" applyProtection="1">
      <alignment horizontal="left" vertical="center" indent="1" shrinkToFit="1"/>
      <protection locked="0"/>
    </xf>
    <xf numFmtId="49" fontId="0" fillId="8" borderId="83" xfId="0" applyNumberFormat="1" applyFill="1" applyBorder="1" applyAlignment="1" applyProtection="1">
      <alignment horizontal="left" vertical="center" indent="1" shrinkToFit="1"/>
      <protection locked="0"/>
    </xf>
    <xf numFmtId="0" fontId="8" fillId="9" borderId="138" xfId="0" applyFont="1" applyFill="1" applyBorder="1" applyAlignment="1">
      <alignment horizontal="center" vertical="center"/>
    </xf>
    <xf numFmtId="0" fontId="8" fillId="9" borderId="70" xfId="0" applyFont="1" applyFill="1" applyBorder="1" applyAlignment="1">
      <alignment horizontal="center" vertical="center"/>
    </xf>
    <xf numFmtId="0" fontId="8" fillId="9" borderId="139" xfId="0" applyFont="1" applyFill="1" applyBorder="1" applyAlignment="1">
      <alignment horizontal="center" vertical="center"/>
    </xf>
    <xf numFmtId="0" fontId="10" fillId="0" borderId="71" xfId="0" applyFont="1" applyBorder="1" applyAlignment="1">
      <alignment horizontal="right" vertical="top" indent="1"/>
    </xf>
    <xf numFmtId="0" fontId="10" fillId="0" borderId="8" xfId="0" applyFont="1" applyBorder="1" applyAlignment="1">
      <alignment horizontal="right" vertical="top" indent="1"/>
    </xf>
    <xf numFmtId="0" fontId="0" fillId="0" borderId="72" xfId="0" applyBorder="1" applyAlignment="1">
      <alignment horizontal="left" vertical="center" indent="1"/>
    </xf>
    <xf numFmtId="0" fontId="0" fillId="0" borderId="73" xfId="0" applyBorder="1" applyAlignment="1">
      <alignment horizontal="left" vertical="center" indent="1"/>
    </xf>
    <xf numFmtId="0" fontId="10" fillId="0" borderId="6" xfId="0" applyFont="1" applyBorder="1" applyAlignment="1">
      <alignment horizontal="right" vertical="center" indent="1" shrinkToFit="1"/>
    </xf>
    <xf numFmtId="0" fontId="0" fillId="0" borderId="7" xfId="0" applyBorder="1" applyAlignment="1">
      <alignment horizontal="right" vertical="center" indent="1" shrinkToFit="1"/>
    </xf>
    <xf numFmtId="0" fontId="0" fillId="0" borderId="74" xfId="0" applyBorder="1" applyAlignment="1">
      <alignment horizontal="left" vertical="center" indent="1" shrinkToFit="1"/>
    </xf>
    <xf numFmtId="0" fontId="0" fillId="0" borderId="75" xfId="0" applyBorder="1" applyAlignment="1">
      <alignment horizontal="left" vertical="center" indent="1" shrinkToFit="1"/>
    </xf>
    <xf numFmtId="0" fontId="0" fillId="0" borderId="76" xfId="0" applyBorder="1" applyAlignment="1">
      <alignment horizontal="left" vertical="center" indent="1" shrinkToFit="1"/>
    </xf>
    <xf numFmtId="0" fontId="48" fillId="0" borderId="77" xfId="0" applyFont="1" applyBorder="1" applyAlignment="1">
      <alignment horizontal="right" vertical="center" wrapText="1" indent="1"/>
    </xf>
    <xf numFmtId="0" fontId="48" fillId="0" borderId="5" xfId="0" applyFont="1" applyBorder="1" applyAlignment="1">
      <alignment horizontal="right" vertical="center" wrapText="1" indent="1"/>
    </xf>
    <xf numFmtId="0" fontId="48" fillId="0" borderId="79" xfId="0" applyFont="1" applyBorder="1" applyAlignment="1">
      <alignment horizontal="right" vertical="center" wrapText="1" indent="1"/>
    </xf>
    <xf numFmtId="0" fontId="48" fillId="0" borderId="21" xfId="0" applyFont="1" applyBorder="1" applyAlignment="1">
      <alignment horizontal="right" vertical="center" wrapText="1" indent="1"/>
    </xf>
    <xf numFmtId="0" fontId="0" fillId="0" borderId="26" xfId="0" applyBorder="1" applyAlignment="1">
      <alignment horizontal="left" vertical="center" indent="1"/>
    </xf>
    <xf numFmtId="0" fontId="0" fillId="0" borderId="27" xfId="0" applyBorder="1" applyAlignment="1">
      <alignment horizontal="left" vertical="center" indent="1"/>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12" xfId="0" applyBorder="1" applyAlignment="1">
      <alignment horizontal="left" vertical="center"/>
    </xf>
    <xf numFmtId="0" fontId="0" fillId="0" borderId="13" xfId="0" applyBorder="1" applyAlignment="1">
      <alignment horizontal="left" vertical="center"/>
    </xf>
    <xf numFmtId="0" fontId="50" fillId="20" borderId="16" xfId="0" applyFont="1" applyFill="1" applyBorder="1" applyAlignment="1">
      <alignment vertical="center" wrapText="1"/>
    </xf>
    <xf numFmtId="0" fontId="50" fillId="20" borderId="17" xfId="0" applyFont="1" applyFill="1" applyBorder="1" applyAlignment="1">
      <alignment vertical="center" wrapText="1"/>
    </xf>
    <xf numFmtId="0" fontId="50" fillId="20" borderId="17" xfId="0" applyFont="1" applyFill="1" applyBorder="1" applyAlignment="1">
      <alignment horizontal="left" vertical="center" indent="1" shrinkToFit="1"/>
    </xf>
    <xf numFmtId="0" fontId="11" fillId="20" borderId="17" xfId="0" applyFont="1" applyFill="1" applyBorder="1" applyAlignment="1">
      <alignment horizontal="left" vertical="center" indent="1" shrinkToFit="1"/>
    </xf>
    <xf numFmtId="0" fontId="11" fillId="20" borderId="18" xfId="0" applyFont="1" applyFill="1" applyBorder="1" applyAlignment="1">
      <alignment horizontal="left" vertical="center" indent="1" shrinkToFit="1"/>
    </xf>
    <xf numFmtId="0" fontId="8" fillId="9" borderId="0" xfId="0" applyFont="1" applyFill="1" applyAlignment="1">
      <alignment horizontal="center" vertical="center" wrapText="1"/>
    </xf>
    <xf numFmtId="0" fontId="8" fillId="9" borderId="20" xfId="0" applyFont="1" applyFill="1" applyBorder="1" applyAlignment="1">
      <alignment horizontal="center" vertical="center" wrapText="1"/>
    </xf>
    <xf numFmtId="3" fontId="8" fillId="9" borderId="0" xfId="0" applyNumberFormat="1" applyFont="1" applyFill="1" applyAlignment="1">
      <alignment horizontal="left" vertical="center"/>
    </xf>
    <xf numFmtId="3" fontId="8" fillId="9" borderId="20" xfId="0" applyNumberFormat="1" applyFont="1" applyFill="1" applyBorder="1" applyAlignment="1">
      <alignment horizontal="left" vertical="center"/>
    </xf>
    <xf numFmtId="3" fontId="8" fillId="9" borderId="5" xfId="0" applyNumberFormat="1" applyFont="1" applyFill="1" applyBorder="1" applyAlignment="1">
      <alignment horizontal="left" vertical="center"/>
    </xf>
    <xf numFmtId="3" fontId="8" fillId="9" borderId="21" xfId="0" applyNumberFormat="1" applyFont="1" applyFill="1" applyBorder="1" applyAlignment="1">
      <alignment horizontal="left" vertical="center"/>
    </xf>
    <xf numFmtId="0" fontId="8" fillId="9" borderId="1" xfId="0" applyFont="1" applyFill="1" applyBorder="1" applyAlignment="1">
      <alignment horizontal="left" vertical="center" wrapText="1" indent="1"/>
    </xf>
    <xf numFmtId="0" fontId="8" fillId="9" borderId="2" xfId="0" applyFont="1" applyFill="1" applyBorder="1" applyAlignment="1">
      <alignment horizontal="left" vertical="center" wrapText="1" indent="1"/>
    </xf>
    <xf numFmtId="0" fontId="8" fillId="9" borderId="60" xfId="0" applyFont="1" applyFill="1" applyBorder="1" applyAlignment="1">
      <alignment horizontal="left" vertical="center" wrapText="1" indent="1"/>
    </xf>
    <xf numFmtId="49" fontId="35" fillId="9" borderId="61" xfId="0" applyNumberFormat="1" applyFont="1" applyFill="1" applyBorder="1" applyAlignment="1">
      <alignment horizontal="right" vertical="center"/>
    </xf>
    <xf numFmtId="49" fontId="0" fillId="9" borderId="61" xfId="0" applyNumberFormat="1" applyFill="1" applyBorder="1" applyAlignment="1">
      <alignment vertical="center"/>
    </xf>
    <xf numFmtId="0" fontId="8" fillId="9" borderId="62" xfId="0" applyFont="1" applyFill="1" applyBorder="1" applyAlignment="1">
      <alignment horizontal="right" vertical="center" wrapText="1" indent="1"/>
    </xf>
    <xf numFmtId="0" fontId="8" fillId="9" borderId="58" xfId="0" applyFont="1" applyFill="1" applyBorder="1" applyAlignment="1">
      <alignment horizontal="right" vertical="center" wrapText="1" indent="1"/>
    </xf>
    <xf numFmtId="0" fontId="8" fillId="0" borderId="64" xfId="0" applyFont="1" applyBorder="1" applyAlignment="1">
      <alignment horizontal="right" vertical="center" wrapText="1" indent="1"/>
    </xf>
    <xf numFmtId="0" fontId="8" fillId="0" borderId="65" xfId="0" applyFont="1" applyBorder="1" applyAlignment="1">
      <alignment horizontal="right" vertical="center" wrapText="1" indent="1"/>
    </xf>
    <xf numFmtId="164" fontId="25" fillId="9" borderId="58" xfId="0" applyNumberFormat="1" applyFont="1" applyFill="1" applyBorder="1" applyAlignment="1">
      <alignment horizontal="center" vertical="center" shrinkToFit="1"/>
    </xf>
    <xf numFmtId="164" fontId="25" fillId="0" borderId="65" xfId="0" applyNumberFormat="1" applyFont="1" applyBorder="1" applyAlignment="1">
      <alignment horizontal="center" vertical="center" shrinkToFit="1"/>
    </xf>
    <xf numFmtId="0" fontId="8" fillId="9" borderId="59" xfId="0" applyFont="1" applyFill="1" applyBorder="1" applyAlignment="1">
      <alignment horizontal="left" vertical="center" wrapText="1"/>
    </xf>
    <xf numFmtId="0" fontId="8" fillId="0" borderId="66" xfId="0" applyFont="1" applyBorder="1" applyAlignment="1">
      <alignment horizontal="left" vertical="center" wrapText="1"/>
    </xf>
    <xf numFmtId="0" fontId="49" fillId="6" borderId="4" xfId="0" applyFont="1" applyFill="1" applyBorder="1" applyAlignment="1">
      <alignment vertical="center"/>
    </xf>
    <xf numFmtId="0" fontId="8" fillId="0" borderId="0" xfId="0" applyFont="1" applyAlignment="1">
      <alignment vertical="center"/>
    </xf>
    <xf numFmtId="0" fontId="8" fillId="0" borderId="5" xfId="0" applyFont="1" applyBorder="1" applyAlignment="1">
      <alignment vertical="center"/>
    </xf>
    <xf numFmtId="0" fontId="0" fillId="0" borderId="68" xfId="0" quotePrefix="1" applyBorder="1" applyAlignment="1">
      <alignment horizontal="left" vertical="top" wrapText="1"/>
    </xf>
    <xf numFmtId="0" fontId="0" fillId="0" borderId="68" xfId="0" applyBorder="1" applyAlignment="1">
      <alignment horizontal="left" vertical="top" wrapText="1"/>
    </xf>
    <xf numFmtId="0" fontId="0" fillId="0" borderId="69" xfId="0" applyBorder="1" applyAlignment="1">
      <alignment horizontal="left" vertical="top" wrapText="1"/>
    </xf>
    <xf numFmtId="0" fontId="56" fillId="20" borderId="31" xfId="2" applyFont="1" applyFill="1" applyBorder="1" applyAlignment="1">
      <alignment horizontal="center" vertical="center" shrinkToFit="1"/>
    </xf>
    <xf numFmtId="0" fontId="35" fillId="0" borderId="34" xfId="0" applyFont="1" applyBorder="1" applyAlignment="1">
      <alignment horizontal="center" wrapText="1"/>
    </xf>
    <xf numFmtId="0" fontId="0" fillId="0" borderId="33" xfId="0" applyBorder="1" applyAlignment="1">
      <alignment horizontal="center" wrapText="1"/>
    </xf>
    <xf numFmtId="0" fontId="49" fillId="6" borderId="1" xfId="0" applyFont="1" applyFill="1" applyBorder="1" applyAlignment="1">
      <alignment vertical="center"/>
    </xf>
    <xf numFmtId="0" fontId="8" fillId="0" borderId="2" xfId="0" applyFont="1" applyBorder="1" applyAlignment="1">
      <alignment vertical="center"/>
    </xf>
    <xf numFmtId="0" fontId="8" fillId="0" borderId="3" xfId="0" applyFont="1" applyBorder="1" applyAlignment="1">
      <alignment vertical="center"/>
    </xf>
    <xf numFmtId="0" fontId="35" fillId="0" borderId="33" xfId="0" applyFont="1" applyBorder="1" applyAlignment="1">
      <alignment horizontal="center" wrapText="1"/>
    </xf>
    <xf numFmtId="0" fontId="50" fillId="19" borderId="34" xfId="0" applyFont="1" applyFill="1" applyBorder="1" applyAlignment="1">
      <alignment horizontal="center" wrapText="1"/>
    </xf>
    <xf numFmtId="0" fontId="50" fillId="19" borderId="33" xfId="0" applyFont="1" applyFill="1" applyBorder="1" applyAlignment="1">
      <alignment horizontal="center" wrapText="1"/>
    </xf>
    <xf numFmtId="0" fontId="8" fillId="19" borderId="33" xfId="0" applyFont="1" applyFill="1" applyBorder="1" applyAlignment="1">
      <alignment horizontal="center" wrapText="1"/>
    </xf>
    <xf numFmtId="0" fontId="8" fillId="19" borderId="34" xfId="0" applyFont="1" applyFill="1" applyBorder="1" applyAlignment="1">
      <alignment horizontal="center" vertical="center"/>
    </xf>
    <xf numFmtId="0" fontId="11" fillId="19" borderId="33" xfId="0" applyFont="1" applyFill="1" applyBorder="1" applyAlignment="1">
      <alignment horizontal="center" wrapText="1"/>
    </xf>
    <xf numFmtId="0" fontId="11" fillId="0" borderId="33" xfId="0" applyFont="1" applyBorder="1" applyAlignment="1">
      <alignment horizontal="center" wrapText="1"/>
    </xf>
    <xf numFmtId="0" fontId="46" fillId="4" borderId="1" xfId="0" applyFont="1" applyFill="1" applyBorder="1" applyAlignment="1">
      <alignment horizontal="center" vertical="center" wrapText="1"/>
    </xf>
    <xf numFmtId="0" fontId="0" fillId="4" borderId="3" xfId="0" applyFill="1" applyBorder="1" applyAlignment="1">
      <alignment horizontal="center" vertical="center" wrapText="1"/>
    </xf>
    <xf numFmtId="0" fontId="0" fillId="4" borderId="4" xfId="0" applyFill="1" applyBorder="1" applyAlignment="1">
      <alignment horizontal="center" vertical="center" wrapText="1"/>
    </xf>
    <xf numFmtId="0" fontId="0" fillId="4" borderId="5" xfId="0" applyFill="1" applyBorder="1" applyAlignment="1">
      <alignment horizontal="center" vertical="center" wrapText="1"/>
    </xf>
    <xf numFmtId="0" fontId="0" fillId="4" borderId="19" xfId="0" applyFill="1" applyBorder="1" applyAlignment="1">
      <alignment horizontal="center" vertical="center" wrapText="1"/>
    </xf>
    <xf numFmtId="0" fontId="0" fillId="4" borderId="21" xfId="0" applyFill="1" applyBorder="1" applyAlignment="1">
      <alignment horizontal="center" vertical="center" wrapText="1"/>
    </xf>
    <xf numFmtId="0" fontId="45" fillId="4" borderId="1" xfId="0" applyFont="1" applyFill="1" applyBorder="1" applyAlignment="1">
      <alignment horizontal="center" vertical="center" textRotation="90" wrapText="1"/>
    </xf>
    <xf numFmtId="0" fontId="47" fillId="4" borderId="4" xfId="0" applyFont="1" applyFill="1" applyBorder="1" applyAlignment="1">
      <alignment horizontal="center" vertical="center" textRotation="90" wrapText="1"/>
    </xf>
    <xf numFmtId="0" fontId="47" fillId="4" borderId="19" xfId="0" applyFont="1" applyFill="1" applyBorder="1" applyAlignment="1">
      <alignment horizontal="center" vertical="center" textRotation="90" wrapText="1"/>
    </xf>
    <xf numFmtId="0" fontId="52" fillId="0" borderId="34" xfId="0" applyFont="1" applyBorder="1" applyAlignment="1">
      <alignment horizontal="center" wrapText="1"/>
    </xf>
    <xf numFmtId="0" fontId="21" fillId="0" borderId="33" xfId="0" applyFont="1" applyBorder="1" applyAlignment="1">
      <alignment horizontal="center" wrapText="1"/>
    </xf>
    <xf numFmtId="0" fontId="54" fillId="0" borderId="34" xfId="0" applyFont="1" applyBorder="1" applyAlignment="1">
      <alignment horizontal="center" wrapText="1"/>
    </xf>
    <xf numFmtId="0" fontId="13" fillId="0" borderId="33" xfId="0" applyFont="1" applyBorder="1" applyAlignment="1">
      <alignment horizontal="center" wrapText="1"/>
    </xf>
    <xf numFmtId="0" fontId="85" fillId="4" borderId="1" xfId="0" applyFont="1" applyFill="1" applyBorder="1" applyAlignment="1">
      <alignment horizontal="center" vertical="center" wrapText="1"/>
    </xf>
    <xf numFmtId="0" fontId="85" fillId="4" borderId="2" xfId="0" applyFont="1" applyFill="1" applyBorder="1" applyAlignment="1">
      <alignment horizontal="center" vertical="center" wrapText="1"/>
    </xf>
    <xf numFmtId="0" fontId="85" fillId="4" borderId="3" xfId="0" applyFont="1" applyFill="1" applyBorder="1" applyAlignment="1">
      <alignment horizontal="center" vertical="center" wrapText="1"/>
    </xf>
    <xf numFmtId="0" fontId="85" fillId="4" borderId="4" xfId="0" applyFont="1" applyFill="1" applyBorder="1" applyAlignment="1">
      <alignment horizontal="center" vertical="center" wrapText="1"/>
    </xf>
    <xf numFmtId="0" fontId="85" fillId="4" borderId="0" xfId="0" applyFont="1" applyFill="1" applyAlignment="1">
      <alignment horizontal="center" vertical="center" wrapText="1"/>
    </xf>
    <xf numFmtId="0" fontId="85" fillId="4" borderId="5" xfId="0" applyFont="1" applyFill="1" applyBorder="1" applyAlignment="1">
      <alignment horizontal="center" vertical="center" wrapText="1"/>
    </xf>
    <xf numFmtId="0" fontId="0" fillId="0" borderId="1" xfId="0" applyBorder="1"/>
    <xf numFmtId="0" fontId="18" fillId="4" borderId="32" xfId="0" applyFont="1" applyFill="1" applyBorder="1" applyAlignment="1">
      <alignment horizontal="center" wrapText="1"/>
    </xf>
    <xf numFmtId="0" fontId="0" fillId="0" borderId="34" xfId="0" applyBorder="1" applyAlignment="1">
      <alignment horizontal="center" wrapText="1"/>
    </xf>
    <xf numFmtId="0" fontId="10" fillId="4" borderId="1" xfId="0" applyFont="1" applyFill="1" applyBorder="1" applyAlignment="1">
      <alignment horizontal="right" vertical="top" indent="1"/>
    </xf>
    <xf numFmtId="0" fontId="10" fillId="4" borderId="35" xfId="0" applyFont="1" applyFill="1" applyBorder="1" applyAlignment="1">
      <alignment horizontal="right" vertical="top" indent="1"/>
    </xf>
    <xf numFmtId="0" fontId="0" fillId="0" borderId="36" xfId="0" applyBorder="1" applyAlignment="1">
      <alignment horizontal="left" vertical="center" indent="1"/>
    </xf>
    <xf numFmtId="0" fontId="0" fillId="0" borderId="23" xfId="0" applyBorder="1" applyAlignment="1">
      <alignment horizontal="left" vertical="center" indent="1"/>
    </xf>
    <xf numFmtId="0" fontId="0" fillId="0" borderId="24" xfId="0" applyBorder="1" applyAlignment="1">
      <alignment horizontal="left" vertical="center" indent="1"/>
    </xf>
    <xf numFmtId="0" fontId="31" fillId="0" borderId="2" xfId="0" applyFont="1" applyBorder="1" applyAlignment="1">
      <alignment horizontal="left" vertical="center" wrapText="1" indent="1"/>
    </xf>
    <xf numFmtId="0" fontId="31" fillId="0" borderId="3" xfId="0" applyFont="1" applyBorder="1" applyAlignment="1">
      <alignment horizontal="left" vertical="center" wrapText="1" indent="1"/>
    </xf>
    <xf numFmtId="0" fontId="31" fillId="0" borderId="4" xfId="0" applyFont="1" applyBorder="1" applyAlignment="1">
      <alignment horizontal="left" vertical="center" wrapText="1" indent="1"/>
    </xf>
    <xf numFmtId="0" fontId="31" fillId="0" borderId="0" xfId="0" applyFont="1" applyAlignment="1">
      <alignment horizontal="left" vertical="center" wrapText="1" indent="1"/>
    </xf>
    <xf numFmtId="0" fontId="31" fillId="0" borderId="5" xfId="0" applyFont="1" applyBorder="1" applyAlignment="1">
      <alignment horizontal="left" vertical="center" wrapText="1" indent="1"/>
    </xf>
    <xf numFmtId="0" fontId="31" fillId="0" borderId="19" xfId="0" applyFont="1" applyBorder="1" applyAlignment="1">
      <alignment horizontal="left" vertical="center" wrapText="1" indent="1"/>
    </xf>
    <xf numFmtId="0" fontId="31" fillId="0" borderId="20" xfId="0" applyFont="1" applyBorder="1" applyAlignment="1">
      <alignment horizontal="left" vertical="center" wrapText="1" indent="1"/>
    </xf>
    <xf numFmtId="0" fontId="31" fillId="0" borderId="21" xfId="0" applyFont="1" applyBorder="1" applyAlignment="1">
      <alignment horizontal="left" vertical="center" wrapText="1" indent="1"/>
    </xf>
    <xf numFmtId="0" fontId="48" fillId="4" borderId="4" xfId="0" applyFont="1" applyFill="1" applyBorder="1" applyAlignment="1">
      <alignment horizontal="right" vertical="center" wrapText="1" indent="1"/>
    </xf>
    <xf numFmtId="0" fontId="48" fillId="4" borderId="37" xfId="0" applyFont="1" applyFill="1" applyBorder="1" applyAlignment="1">
      <alignment horizontal="right" vertical="center" wrapText="1" indent="1"/>
    </xf>
    <xf numFmtId="0" fontId="48" fillId="4" borderId="19" xfId="0" applyFont="1" applyFill="1" applyBorder="1" applyAlignment="1">
      <alignment horizontal="right" vertical="center" wrapText="1" indent="1"/>
    </xf>
    <xf numFmtId="0" fontId="48" fillId="4" borderId="39" xfId="0" applyFont="1" applyFill="1" applyBorder="1" applyAlignment="1">
      <alignment horizontal="right" vertical="center" wrapText="1" indent="1"/>
    </xf>
    <xf numFmtId="0" fontId="0" fillId="0" borderId="38" xfId="0" applyBorder="1" applyAlignment="1">
      <alignment horizontal="left" vertical="center" indent="1"/>
    </xf>
    <xf numFmtId="0" fontId="0" fillId="0" borderId="40" xfId="0" applyBorder="1" applyAlignment="1">
      <alignment horizontal="left" vertical="center" indent="1"/>
    </xf>
    <xf numFmtId="0" fontId="8" fillId="26" borderId="19" xfId="0" applyFont="1" applyFill="1" applyBorder="1" applyAlignment="1">
      <alignment vertical="center"/>
    </xf>
    <xf numFmtId="0" fontId="8" fillId="26" borderId="20" xfId="0" applyFont="1" applyFill="1" applyBorder="1" applyAlignment="1">
      <alignment vertical="center"/>
    </xf>
    <xf numFmtId="0" fontId="8" fillId="26" borderId="21" xfId="0" applyFont="1" applyFill="1" applyBorder="1" applyAlignment="1">
      <alignment vertical="center"/>
    </xf>
    <xf numFmtId="0" fontId="0" fillId="0" borderId="16" xfId="0" applyBorder="1" applyAlignment="1">
      <alignment vertical="top" wrapText="1"/>
    </xf>
    <xf numFmtId="0" fontId="0" fillId="0" borderId="117" xfId="0" applyBorder="1" applyAlignment="1">
      <alignment vertical="top" wrapText="1"/>
    </xf>
    <xf numFmtId="49" fontId="0" fillId="8" borderId="41" xfId="0" applyNumberFormat="1" applyFill="1" applyBorder="1" applyAlignment="1" applyProtection="1">
      <alignment horizontal="center" vertical="center" wrapText="1"/>
      <protection locked="0"/>
    </xf>
    <xf numFmtId="49" fontId="0" fillId="8" borderId="17" xfId="0" applyNumberFormat="1" applyFill="1" applyBorder="1" applyAlignment="1" applyProtection="1">
      <alignment horizontal="center" vertical="center" wrapText="1"/>
      <protection locked="0"/>
    </xf>
    <xf numFmtId="49" fontId="0" fillId="8" borderId="18" xfId="0" applyNumberFormat="1" applyFill="1" applyBorder="1" applyAlignment="1" applyProtection="1">
      <alignment horizontal="center" vertical="center" wrapText="1"/>
      <protection locked="0"/>
    </xf>
    <xf numFmtId="0" fontId="0" fillId="0" borderId="31" xfId="0" applyBorder="1" applyAlignment="1">
      <alignment horizontal="left" vertical="center" wrapText="1"/>
    </xf>
    <xf numFmtId="0" fontId="0" fillId="0" borderId="117" xfId="0" applyBorder="1" applyAlignment="1">
      <alignment horizontal="left" vertical="center" wrapText="1"/>
    </xf>
    <xf numFmtId="0" fontId="0" fillId="0" borderId="16" xfId="0" applyBorder="1" applyAlignment="1">
      <alignment horizontal="center" vertical="top"/>
    </xf>
    <xf numFmtId="0" fontId="0" fillId="8" borderId="1" xfId="0" applyFill="1" applyBorder="1" applyAlignment="1" applyProtection="1">
      <alignment horizontal="center" vertical="center" wrapText="1"/>
      <protection locked="0"/>
    </xf>
    <xf numFmtId="0" fontId="0" fillId="8" borderId="2" xfId="0" applyFill="1" applyBorder="1" applyAlignment="1" applyProtection="1">
      <alignment horizontal="center" vertical="center" wrapText="1"/>
      <protection locked="0"/>
    </xf>
    <xf numFmtId="0" fontId="0" fillId="8" borderId="3" xfId="0" applyFill="1" applyBorder="1" applyAlignment="1" applyProtection="1">
      <alignment horizontal="center" vertical="center" wrapText="1"/>
      <protection locked="0"/>
    </xf>
    <xf numFmtId="0" fontId="0" fillId="8" borderId="4" xfId="0" applyFill="1" applyBorder="1" applyAlignment="1" applyProtection="1">
      <alignment horizontal="center" vertical="center" wrapText="1"/>
      <protection locked="0"/>
    </xf>
    <xf numFmtId="0" fontId="0" fillId="8" borderId="0" xfId="0" applyFill="1" applyAlignment="1" applyProtection="1">
      <alignment horizontal="center" vertical="center" wrapText="1"/>
      <protection locked="0"/>
    </xf>
    <xf numFmtId="0" fontId="0" fillId="8" borderId="5" xfId="0" applyFill="1" applyBorder="1" applyAlignment="1" applyProtection="1">
      <alignment horizontal="center" vertical="center" wrapText="1"/>
      <protection locked="0"/>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0" fillId="0" borderId="28" xfId="0" applyBorder="1" applyAlignment="1">
      <alignment horizontal="center" vertical="top" wrapText="1"/>
    </xf>
    <xf numFmtId="0" fontId="0" fillId="0" borderId="29" xfId="0" applyBorder="1" applyAlignment="1">
      <alignment horizontal="center" vertical="top" wrapText="1"/>
    </xf>
    <xf numFmtId="0" fontId="0" fillId="0" borderId="30" xfId="0" applyBorder="1" applyAlignment="1">
      <alignment horizontal="center" vertical="top" wrapText="1"/>
    </xf>
    <xf numFmtId="0" fontId="0" fillId="8" borderId="16" xfId="0" applyFill="1" applyBorder="1" applyAlignment="1" applyProtection="1">
      <alignment horizontal="center" vertical="top" wrapText="1"/>
      <protection locked="0"/>
    </xf>
    <xf numFmtId="0" fontId="0" fillId="8" borderId="18" xfId="0" applyFill="1" applyBorder="1" applyAlignment="1" applyProtection="1">
      <alignment horizontal="center" vertical="top" wrapText="1"/>
      <protection locked="0"/>
    </xf>
    <xf numFmtId="0" fontId="0" fillId="8" borderId="18" xfId="0" applyFill="1" applyBorder="1" applyAlignment="1" applyProtection="1">
      <alignment vertical="top" wrapText="1"/>
      <protection locked="0"/>
    </xf>
    <xf numFmtId="0" fontId="0" fillId="0" borderId="17" xfId="0" applyBorder="1" applyAlignment="1">
      <alignment horizontal="center" vertical="top"/>
    </xf>
    <xf numFmtId="0" fontId="0" fillId="0" borderId="18" xfId="0" applyBorder="1" applyAlignment="1">
      <alignment vertical="top"/>
    </xf>
    <xf numFmtId="0" fontId="8" fillId="2" borderId="16" xfId="0" applyFont="1" applyFill="1" applyBorder="1" applyAlignment="1">
      <alignment vertical="center" wrapText="1"/>
    </xf>
    <xf numFmtId="0" fontId="8" fillId="2" borderId="17" xfId="0" applyFont="1" applyFill="1" applyBorder="1" applyAlignment="1">
      <alignment vertical="center" wrapText="1"/>
    </xf>
    <xf numFmtId="0" fontId="8" fillId="2" borderId="18" xfId="0" applyFont="1" applyFill="1" applyBorder="1" applyAlignment="1">
      <alignment vertical="center" wrapText="1"/>
    </xf>
    <xf numFmtId="0" fontId="0" fillId="0" borderId="16" xfId="0" applyBorder="1" applyAlignment="1">
      <alignment horizontal="center" vertical="top" wrapText="1"/>
    </xf>
    <xf numFmtId="0" fontId="0" fillId="0" borderId="17" xfId="0" applyBorder="1" applyAlignment="1">
      <alignment horizontal="center" vertical="top" wrapText="1"/>
    </xf>
    <xf numFmtId="0" fontId="8" fillId="2" borderId="16" xfId="0" applyFont="1" applyFill="1" applyBorder="1" applyAlignment="1">
      <alignment horizontal="left" vertical="center" wrapText="1"/>
    </xf>
    <xf numFmtId="0" fontId="8" fillId="2" borderId="17" xfId="0" applyFont="1" applyFill="1" applyBorder="1" applyAlignment="1">
      <alignment horizontal="left" vertical="center" wrapText="1"/>
    </xf>
    <xf numFmtId="0" fontId="8" fillId="2" borderId="18" xfId="0" applyFont="1" applyFill="1" applyBorder="1" applyAlignment="1">
      <alignment horizontal="left" vertical="center" wrapText="1"/>
    </xf>
    <xf numFmtId="0" fontId="0" fillId="0" borderId="18" xfId="0" applyBorder="1" applyAlignment="1">
      <alignment horizontal="center" vertical="top" wrapText="1"/>
    </xf>
    <xf numFmtId="0" fontId="0" fillId="7" borderId="16" xfId="0" applyFill="1" applyBorder="1" applyAlignment="1">
      <alignment horizontal="center" vertical="top" wrapText="1"/>
    </xf>
    <xf numFmtId="0" fontId="0" fillId="7" borderId="18" xfId="0" applyFill="1" applyBorder="1" applyAlignment="1">
      <alignment horizontal="center" vertical="top" wrapText="1"/>
    </xf>
    <xf numFmtId="0" fontId="0" fillId="7" borderId="16" xfId="0" applyFill="1" applyBorder="1" applyAlignment="1">
      <alignment horizontal="left" vertical="top" wrapText="1"/>
    </xf>
    <xf numFmtId="0" fontId="0" fillId="7" borderId="17" xfId="0" applyFill="1" applyBorder="1" applyAlignment="1">
      <alignment horizontal="left" vertical="top" wrapText="1"/>
    </xf>
    <xf numFmtId="0" fontId="0" fillId="7" borderId="18" xfId="0" applyFill="1" applyBorder="1" applyAlignment="1">
      <alignment horizontal="left" vertical="top" wrapText="1"/>
    </xf>
    <xf numFmtId="0" fontId="0" fillId="7" borderId="16" xfId="0" applyFill="1" applyBorder="1" applyAlignment="1">
      <alignment vertical="top" wrapText="1"/>
    </xf>
    <xf numFmtId="0" fontId="0" fillId="7" borderId="17" xfId="0" applyFill="1" applyBorder="1" applyAlignment="1">
      <alignment vertical="top" wrapText="1"/>
    </xf>
    <xf numFmtId="0" fontId="0" fillId="7" borderId="18" xfId="0" applyFill="1" applyBorder="1" applyAlignment="1">
      <alignment vertical="top" wrapText="1"/>
    </xf>
    <xf numFmtId="0" fontId="8" fillId="11" borderId="16" xfId="0" applyFont="1" applyFill="1" applyBorder="1" applyAlignment="1">
      <alignment vertical="top" wrapText="1"/>
    </xf>
    <xf numFmtId="0" fontId="8" fillId="11" borderId="17" xfId="0" applyFont="1" applyFill="1" applyBorder="1" applyAlignment="1">
      <alignment vertical="top" wrapText="1"/>
    </xf>
    <xf numFmtId="0" fontId="8" fillId="11" borderId="18" xfId="0" applyFont="1" applyFill="1" applyBorder="1" applyAlignment="1">
      <alignment vertical="top" wrapText="1"/>
    </xf>
    <xf numFmtId="0" fontId="8" fillId="11" borderId="17" xfId="0" applyFont="1" applyFill="1" applyBorder="1" applyAlignment="1">
      <alignment vertical="center" wrapText="1"/>
    </xf>
    <xf numFmtId="0" fontId="8" fillId="11" borderId="18" xfId="0" applyFont="1" applyFill="1" applyBorder="1" applyAlignment="1">
      <alignment vertical="center" wrapText="1"/>
    </xf>
    <xf numFmtId="0" fontId="8" fillId="11" borderId="16" xfId="0" applyFont="1" applyFill="1" applyBorder="1" applyAlignment="1">
      <alignment horizontal="left" vertical="center" wrapText="1"/>
    </xf>
    <xf numFmtId="0" fontId="8" fillId="11" borderId="17" xfId="0" applyFont="1" applyFill="1" applyBorder="1" applyAlignment="1">
      <alignment horizontal="left" vertical="center" wrapText="1"/>
    </xf>
    <xf numFmtId="0" fontId="8" fillId="11" borderId="18" xfId="0" applyFont="1" applyFill="1" applyBorder="1" applyAlignment="1">
      <alignment horizontal="left" vertical="center" wrapText="1"/>
    </xf>
    <xf numFmtId="0" fontId="8" fillId="11" borderId="34" xfId="0" applyFont="1" applyFill="1" applyBorder="1" applyAlignment="1">
      <alignment vertical="center"/>
    </xf>
    <xf numFmtId="0" fontId="8" fillId="0" borderId="17" xfId="0" applyFont="1" applyBorder="1" applyAlignment="1">
      <alignment horizontal="left" vertical="center" wrapText="1"/>
    </xf>
    <xf numFmtId="0" fontId="8" fillId="0" borderId="18" xfId="0" applyFont="1" applyBorder="1" applyAlignment="1">
      <alignment horizontal="left" vertical="center" wrapText="1"/>
    </xf>
    <xf numFmtId="0" fontId="8" fillId="2" borderId="111" xfId="0" applyFont="1" applyFill="1" applyBorder="1" applyAlignment="1">
      <alignment horizontal="center" shrinkToFit="1"/>
    </xf>
    <xf numFmtId="0" fontId="0" fillId="0" borderId="112" xfId="0" applyBorder="1" applyAlignment="1">
      <alignment shrinkToFit="1"/>
    </xf>
    <xf numFmtId="0" fontId="0" fillId="0" borderId="114" xfId="0" applyBorder="1" applyAlignment="1">
      <alignment shrinkToFit="1"/>
    </xf>
    <xf numFmtId="0" fontId="0" fillId="0" borderId="115" xfId="0" applyBorder="1" applyAlignment="1">
      <alignment shrinkToFit="1"/>
    </xf>
    <xf numFmtId="0" fontId="8" fillId="2" borderId="112" xfId="0" applyFont="1" applyFill="1" applyBorder="1" applyAlignment="1">
      <alignment horizontal="center" wrapText="1"/>
    </xf>
    <xf numFmtId="0" fontId="0" fillId="0" borderId="112" xfId="0" applyBorder="1" applyAlignment="1">
      <alignment wrapText="1"/>
    </xf>
    <xf numFmtId="0" fontId="0" fillId="0" borderId="115" xfId="0" applyBorder="1" applyAlignment="1">
      <alignment wrapText="1"/>
    </xf>
    <xf numFmtId="0" fontId="0" fillId="0" borderId="112" xfId="0" applyBorder="1" applyAlignment="1">
      <alignment horizontal="center" wrapText="1"/>
    </xf>
    <xf numFmtId="0" fontId="0" fillId="0" borderId="115" xfId="0" applyBorder="1" applyAlignment="1">
      <alignment horizontal="center" wrapText="1"/>
    </xf>
    <xf numFmtId="0" fontId="8" fillId="2" borderId="113" xfId="0" applyFont="1" applyFill="1" applyBorder="1" applyAlignment="1">
      <alignment horizontal="center" wrapText="1"/>
    </xf>
    <xf numFmtId="0" fontId="0" fillId="0" borderId="116" xfId="0" applyBorder="1" applyAlignment="1">
      <alignment horizontal="center" wrapText="1"/>
    </xf>
    <xf numFmtId="0" fontId="0" fillId="0" borderId="4" xfId="0" applyBorder="1" applyAlignment="1">
      <alignment horizontal="left" vertical="center" wrapText="1"/>
    </xf>
    <xf numFmtId="0" fontId="0" fillId="0" borderId="0" xfId="0" applyAlignment="1">
      <alignment horizontal="left" vertical="center" wrapText="1"/>
    </xf>
    <xf numFmtId="0" fontId="0" fillId="0" borderId="5" xfId="0" applyBorder="1" applyAlignment="1">
      <alignment horizontal="left" vertical="center" wrapText="1"/>
    </xf>
    <xf numFmtId="49" fontId="0" fillId="0" borderId="1" xfId="0" applyNumberFormat="1" applyBorder="1"/>
    <xf numFmtId="49" fontId="0" fillId="0" borderId="2" xfId="0" applyNumberFormat="1" applyBorder="1"/>
    <xf numFmtId="49" fontId="0" fillId="0" borderId="4" xfId="0" applyNumberFormat="1" applyBorder="1"/>
    <xf numFmtId="49" fontId="0" fillId="0" borderId="0" xfId="0" applyNumberFormat="1"/>
    <xf numFmtId="0" fontId="10" fillId="25" borderId="102" xfId="0" applyFont="1" applyFill="1" applyBorder="1"/>
    <xf numFmtId="0" fontId="10" fillId="25" borderId="17" xfId="0" applyFont="1" applyFill="1" applyBorder="1"/>
    <xf numFmtId="0" fontId="10" fillId="25" borderId="103" xfId="0" applyFont="1" applyFill="1" applyBorder="1"/>
    <xf numFmtId="0" fontId="80" fillId="0" borderId="2" xfId="0" applyFont="1" applyBorder="1" applyAlignment="1">
      <alignment horizontal="center" vertical="center" wrapText="1"/>
    </xf>
    <xf numFmtId="0" fontId="80" fillId="0" borderId="3" xfId="0" applyFont="1" applyBorder="1" applyAlignment="1">
      <alignment horizontal="center" vertical="center" wrapText="1"/>
    </xf>
    <xf numFmtId="0" fontId="80" fillId="0" borderId="0" xfId="0" applyFont="1" applyAlignment="1">
      <alignment horizontal="center" vertical="center" wrapText="1"/>
    </xf>
    <xf numFmtId="0" fontId="80" fillId="0" borderId="5" xfId="0" applyFont="1" applyBorder="1" applyAlignment="1">
      <alignment horizontal="center" vertical="center" wrapText="1"/>
    </xf>
    <xf numFmtId="0" fontId="0" fillId="0" borderId="5" xfId="0" applyBorder="1" applyAlignment="1">
      <alignment horizontal="center" vertical="center" wrapText="1"/>
    </xf>
    <xf numFmtId="0" fontId="0" fillId="0" borderId="102" xfId="0" applyBorder="1" applyAlignment="1">
      <alignment horizontal="left" vertical="center" indent="1" shrinkToFit="1"/>
    </xf>
    <xf numFmtId="0" fontId="0" fillId="0" borderId="103" xfId="0" applyBorder="1" applyAlignment="1">
      <alignment horizontal="left" vertical="center" indent="1" shrinkToFit="1"/>
    </xf>
    <xf numFmtId="0" fontId="0" fillId="0" borderId="104" xfId="0" applyBorder="1" applyAlignment="1">
      <alignment horizontal="left" vertical="center" indent="1" shrinkToFit="1"/>
    </xf>
    <xf numFmtId="0" fontId="0" fillId="0" borderId="105" xfId="0" applyBorder="1" applyAlignment="1">
      <alignment horizontal="left" vertical="center" indent="1" shrinkToFit="1"/>
    </xf>
    <xf numFmtId="0" fontId="10" fillId="25" borderId="106" xfId="0" applyFont="1" applyFill="1" applyBorder="1" applyAlignment="1">
      <alignment vertical="top"/>
    </xf>
    <xf numFmtId="0" fontId="10" fillId="25" borderId="107" xfId="0" applyFont="1" applyFill="1" applyBorder="1" applyAlignment="1">
      <alignment vertical="top"/>
    </xf>
    <xf numFmtId="0" fontId="10" fillId="25" borderId="108" xfId="0" applyFont="1" applyFill="1" applyBorder="1" applyAlignment="1">
      <alignment vertical="top"/>
    </xf>
    <xf numFmtId="0" fontId="0" fillId="0" borderId="109" xfId="0" applyBorder="1" applyAlignment="1">
      <alignment horizontal="center" vertical="top"/>
    </xf>
    <xf numFmtId="0" fontId="0" fillId="0" borderId="110" xfId="0" applyBorder="1" applyAlignment="1">
      <alignment horizontal="center" vertical="top"/>
    </xf>
    <xf numFmtId="49" fontId="48" fillId="0" borderId="4" xfId="0" applyNumberFormat="1" applyFont="1" applyBorder="1" applyAlignment="1">
      <alignment horizontal="right"/>
    </xf>
    <xf numFmtId="49" fontId="48" fillId="0" borderId="0" xfId="0" applyNumberFormat="1" applyFont="1" applyAlignment="1">
      <alignment horizontal="right"/>
    </xf>
    <xf numFmtId="49" fontId="48" fillId="0" borderId="5" xfId="0" applyNumberFormat="1" applyFont="1" applyBorder="1" applyAlignment="1">
      <alignment horizontal="right"/>
    </xf>
    <xf numFmtId="0" fontId="0" fillId="0" borderId="33" xfId="0" applyBorder="1" applyAlignment="1">
      <alignment vertical="center" shrinkToFit="1"/>
    </xf>
    <xf numFmtId="0" fontId="0" fillId="0" borderId="33" xfId="0" applyBorder="1" applyAlignment="1">
      <alignment shrinkToFit="1"/>
    </xf>
    <xf numFmtId="37" fontId="0" fillId="0" borderId="33" xfId="0" applyNumberFormat="1" applyBorder="1" applyAlignment="1">
      <alignment horizontal="center" vertical="center"/>
    </xf>
    <xf numFmtId="0" fontId="0" fillId="0" borderId="0" xfId="0" applyAlignment="1">
      <alignment wrapText="1"/>
    </xf>
    <xf numFmtId="0" fontId="0" fillId="0" borderId="5" xfId="0" applyBorder="1" applyAlignment="1">
      <alignment wrapText="1"/>
    </xf>
    <xf numFmtId="0" fontId="8" fillId="2" borderId="34" xfId="0" applyFont="1" applyFill="1" applyBorder="1" applyAlignment="1">
      <alignment horizontal="center"/>
    </xf>
    <xf numFmtId="0" fontId="10" fillId="0" borderId="34" xfId="0" applyFont="1" applyBorder="1" applyAlignment="1">
      <alignment horizontal="center"/>
    </xf>
    <xf numFmtId="0" fontId="8" fillId="2" borderId="34" xfId="0" applyFont="1" applyFill="1" applyBorder="1" applyAlignment="1">
      <alignment horizontal="center" wrapText="1"/>
    </xf>
    <xf numFmtId="0" fontId="10" fillId="0" borderId="34" xfId="0" applyFont="1" applyBorder="1" applyAlignment="1">
      <alignment horizontal="center" wrapText="1"/>
    </xf>
    <xf numFmtId="0" fontId="21" fillId="0" borderId="33" xfId="0" applyFont="1" applyBorder="1" applyAlignment="1">
      <alignment horizontal="center" vertical="center" wrapText="1"/>
    </xf>
    <xf numFmtId="0" fontId="0" fillId="0" borderId="0" xfId="0" applyAlignment="1">
      <alignment horizontal="left" vertical="top" wrapText="1"/>
    </xf>
    <xf numFmtId="0" fontId="0" fillId="0" borderId="5" xfId="0" applyBorder="1" applyAlignment="1">
      <alignment horizontal="left" vertical="top" wrapText="1"/>
    </xf>
    <xf numFmtId="0" fontId="46" fillId="0" borderId="2" xfId="0" applyFont="1" applyBorder="1" applyAlignment="1">
      <alignment horizontal="center" vertical="center" wrapText="1"/>
    </xf>
    <xf numFmtId="0" fontId="46" fillId="0" borderId="3" xfId="0" applyFont="1" applyBorder="1" applyAlignment="1">
      <alignment horizontal="center" vertical="center" wrapText="1"/>
    </xf>
    <xf numFmtId="0" fontId="46" fillId="0" borderId="0" xfId="0" applyFont="1" applyAlignment="1">
      <alignment horizontal="center" vertical="center" wrapText="1"/>
    </xf>
    <xf numFmtId="0" fontId="46" fillId="0" borderId="5" xfId="0" applyFont="1" applyBorder="1" applyAlignment="1">
      <alignment horizontal="center" vertical="center" wrapText="1"/>
    </xf>
    <xf numFmtId="0" fontId="49" fillId="27" borderId="4" xfId="0" applyFont="1" applyFill="1" applyBorder="1" applyAlignment="1">
      <alignment horizontal="center" vertical="center" wrapText="1"/>
    </xf>
    <xf numFmtId="0" fontId="49" fillId="27" borderId="0" xfId="0" applyFont="1" applyFill="1" applyAlignment="1">
      <alignment horizontal="center" vertical="center" wrapText="1"/>
    </xf>
    <xf numFmtId="0" fontId="49" fillId="27" borderId="5" xfId="0" applyFont="1" applyFill="1" applyBorder="1" applyAlignment="1">
      <alignment horizontal="center" vertical="center" wrapText="1"/>
    </xf>
    <xf numFmtId="0" fontId="9" fillId="0" borderId="0" xfId="0" applyFont="1" applyAlignment="1">
      <alignment horizontal="left"/>
    </xf>
    <xf numFmtId="0" fontId="9" fillId="0" borderId="5" xfId="0" applyFont="1" applyBorder="1" applyAlignment="1">
      <alignment horizontal="left"/>
    </xf>
    <xf numFmtId="0" fontId="10" fillId="0" borderId="1" xfId="0" applyFont="1" applyBorder="1" applyAlignment="1">
      <alignment wrapText="1"/>
    </xf>
    <xf numFmtId="0" fontId="0" fillId="0" borderId="2" xfId="0" applyBorder="1" applyAlignment="1">
      <alignment wrapText="1"/>
    </xf>
    <xf numFmtId="0" fontId="0" fillId="0" borderId="3" xfId="0" applyBorder="1" applyAlignment="1">
      <alignment wrapText="1"/>
    </xf>
    <xf numFmtId="0" fontId="18" fillId="0" borderId="31" xfId="0" applyFont="1" applyBorder="1" applyAlignment="1">
      <alignment horizontal="left" vertical="top" wrapText="1"/>
    </xf>
    <xf numFmtId="0" fontId="17" fillId="0" borderId="2" xfId="0" applyFont="1" applyBorder="1" applyAlignment="1">
      <alignment horizontal="center" vertical="top" wrapText="1"/>
    </xf>
    <xf numFmtId="0" fontId="17" fillId="0" borderId="3" xfId="0" applyFont="1" applyBorder="1" applyAlignment="1">
      <alignment horizontal="center" vertical="top" wrapText="1"/>
    </xf>
    <xf numFmtId="0" fontId="17" fillId="0" borderId="0" xfId="0" applyFont="1" applyAlignment="1">
      <alignment horizontal="center" vertical="top" wrapText="1"/>
    </xf>
    <xf numFmtId="0" fontId="17" fillId="0" borderId="5" xfId="0" applyFont="1" applyBorder="1" applyAlignment="1">
      <alignment horizontal="center" vertical="top" wrapText="1"/>
    </xf>
    <xf numFmtId="0" fontId="18" fillId="0" borderId="0" xfId="0" applyFont="1" applyAlignment="1">
      <alignment horizontal="right" vertical="center" wrapText="1"/>
    </xf>
    <xf numFmtId="0" fontId="0" fillId="0" borderId="0" xfId="0" applyAlignment="1">
      <alignment horizontal="right" vertical="center" wrapText="1"/>
    </xf>
    <xf numFmtId="0" fontId="0" fillId="0" borderId="5" xfId="0" applyBorder="1" applyAlignment="1">
      <alignment horizontal="right" vertical="center" wrapText="1"/>
    </xf>
    <xf numFmtId="0" fontId="0" fillId="0" borderId="20" xfId="0" applyBorder="1" applyAlignment="1">
      <alignment horizontal="right" vertical="center" wrapText="1"/>
    </xf>
    <xf numFmtId="0" fontId="0" fillId="0" borderId="21" xfId="0" applyBorder="1" applyAlignment="1">
      <alignment horizontal="right" vertical="center" wrapText="1"/>
    </xf>
    <xf numFmtId="49" fontId="8" fillId="28" borderId="0" xfId="0" applyNumberFormat="1" applyFont="1" applyFill="1" applyAlignment="1">
      <alignment horizontal="center"/>
    </xf>
    <xf numFmtId="0" fontId="68" fillId="3" borderId="31" xfId="2" applyFont="1" applyFill="1" applyBorder="1" applyAlignment="1">
      <alignment horizontal="center"/>
    </xf>
    <xf numFmtId="0" fontId="68" fillId="10" borderId="31" xfId="2" applyFont="1" applyFill="1" applyBorder="1" applyAlignment="1">
      <alignment horizontal="center"/>
    </xf>
    <xf numFmtId="0" fontId="68" fillId="24" borderId="31" xfId="2" applyFont="1" applyFill="1" applyBorder="1" applyAlignment="1">
      <alignment horizontal="center"/>
    </xf>
    <xf numFmtId="0" fontId="10" fillId="0" borderId="32" xfId="0" applyFont="1" applyBorder="1" applyAlignment="1">
      <alignment horizontal="center" vertical="top"/>
    </xf>
    <xf numFmtId="0" fontId="10" fillId="0" borderId="33" xfId="0" applyFont="1" applyBorder="1" applyAlignment="1">
      <alignment horizontal="center" vertical="top"/>
    </xf>
    <xf numFmtId="49" fontId="0" fillId="29" borderId="1" xfId="0" applyNumberFormat="1" applyFill="1" applyBorder="1" applyAlignment="1">
      <alignment horizontal="center" vertical="top"/>
    </xf>
    <xf numFmtId="0" fontId="0" fillId="29" borderId="3" xfId="0" applyFill="1" applyBorder="1" applyAlignment="1">
      <alignment horizontal="center" vertical="top"/>
    </xf>
    <xf numFmtId="0" fontId="10" fillId="12" borderId="1" xfId="0" applyFont="1" applyFill="1" applyBorder="1" applyAlignment="1">
      <alignment horizontal="left" vertical="top" wrapText="1"/>
    </xf>
    <xf numFmtId="0" fontId="10" fillId="12" borderId="2" xfId="0" applyFont="1" applyFill="1" applyBorder="1" applyAlignment="1">
      <alignment horizontal="left" vertical="top" wrapText="1"/>
    </xf>
    <xf numFmtId="0" fontId="10" fillId="12" borderId="3" xfId="0" applyFont="1" applyFill="1" applyBorder="1" applyAlignment="1">
      <alignment horizontal="left" vertical="top" wrapText="1"/>
    </xf>
    <xf numFmtId="0" fontId="0" fillId="8" borderId="31" xfId="0" applyFill="1" applyBorder="1" applyAlignment="1">
      <alignment horizontal="center" vertical="center" wrapText="1"/>
    </xf>
    <xf numFmtId="0" fontId="10" fillId="0" borderId="28" xfId="0" applyFont="1" applyBorder="1" applyAlignment="1">
      <alignment horizontal="right" vertical="center" wrapText="1"/>
    </xf>
    <xf numFmtId="0" fontId="0" fillId="0" borderId="29" xfId="0" applyBorder="1" applyAlignment="1">
      <alignment horizontal="right" vertical="center" wrapText="1"/>
    </xf>
    <xf numFmtId="0" fontId="0" fillId="0" borderId="30" xfId="0" applyBorder="1" applyAlignment="1">
      <alignment horizontal="right" vertical="center" wrapText="1"/>
    </xf>
    <xf numFmtId="0" fontId="0" fillId="8" borderId="31" xfId="0" applyFill="1" applyBorder="1" applyAlignment="1">
      <alignment horizontal="center" vertical="top" wrapText="1"/>
    </xf>
    <xf numFmtId="0" fontId="0" fillId="12" borderId="31" xfId="0" applyFill="1" applyBorder="1" applyAlignment="1">
      <alignment horizontal="left" vertical="top" wrapText="1" indent="1"/>
    </xf>
    <xf numFmtId="0" fontId="10" fillId="0" borderId="28" xfId="0" applyFont="1" applyBorder="1" applyAlignment="1">
      <alignment horizontal="right" vertical="center"/>
    </xf>
    <xf numFmtId="0" fontId="0" fillId="0" borderId="29" xfId="0" applyBorder="1" applyAlignment="1">
      <alignment horizontal="right" vertical="center"/>
    </xf>
    <xf numFmtId="0" fontId="0" fillId="0" borderId="30" xfId="0" applyBorder="1" applyAlignment="1">
      <alignment horizontal="right" vertical="center"/>
    </xf>
    <xf numFmtId="0" fontId="0" fillId="8" borderId="31" xfId="0" applyFill="1" applyBorder="1" applyAlignment="1">
      <alignment horizontal="left" vertical="top" indent="1" shrinkToFit="1"/>
    </xf>
    <xf numFmtId="0" fontId="0" fillId="0" borderId="31" xfId="0" applyBorder="1" applyAlignment="1">
      <alignment horizontal="left" indent="1"/>
    </xf>
    <xf numFmtId="0" fontId="23" fillId="8" borderId="31" xfId="1" applyFill="1" applyBorder="1" applyAlignment="1" applyProtection="1">
      <alignment horizontal="left" vertical="top" indent="1"/>
    </xf>
    <xf numFmtId="0" fontId="0" fillId="8" borderId="31" xfId="0" applyFill="1" applyBorder="1" applyAlignment="1">
      <alignment horizontal="left" vertical="top" indent="1"/>
    </xf>
    <xf numFmtId="0" fontId="0" fillId="0" borderId="31" xfId="0" applyBorder="1" applyAlignment="1">
      <alignment horizontal="left" indent="1" shrinkToFit="1"/>
    </xf>
    <xf numFmtId="0" fontId="0" fillId="8" borderId="31" xfId="0" applyFill="1" applyBorder="1" applyAlignment="1">
      <alignment horizontal="left" vertical="center" indent="1" shrinkToFit="1"/>
    </xf>
    <xf numFmtId="0" fontId="0" fillId="0" borderId="31" xfId="0" applyBorder="1" applyAlignment="1">
      <alignment horizontal="left" vertical="center" indent="1" shrinkToFit="1"/>
    </xf>
    <xf numFmtId="0" fontId="10" fillId="4" borderId="31" xfId="0" applyFont="1" applyFill="1" applyBorder="1" applyAlignment="1">
      <alignment horizontal="left" vertical="top"/>
    </xf>
    <xf numFmtId="0" fontId="0" fillId="4" borderId="31" xfId="0" applyFill="1" applyBorder="1" applyAlignment="1">
      <alignment horizontal="left" vertical="top"/>
    </xf>
    <xf numFmtId="0" fontId="0" fillId="0" borderId="31" xfId="0" applyBorder="1" applyAlignment="1">
      <alignment horizontal="left" vertical="top"/>
    </xf>
    <xf numFmtId="0" fontId="0" fillId="29" borderId="31" xfId="0" applyFill="1" applyBorder="1" applyAlignment="1">
      <alignment horizontal="center" vertical="top" wrapText="1"/>
    </xf>
    <xf numFmtId="0" fontId="10" fillId="0" borderId="32" xfId="0" applyFont="1" applyBorder="1" applyAlignment="1">
      <alignment horizontal="left" vertical="top" wrapText="1" indent="1"/>
    </xf>
    <xf numFmtId="0" fontId="10" fillId="0" borderId="28" xfId="0" applyFont="1" applyBorder="1" applyAlignment="1">
      <alignment horizontal="right" vertical="top" wrapText="1"/>
    </xf>
    <xf numFmtId="0" fontId="0" fillId="0" borderId="29" xfId="0" applyBorder="1" applyAlignment="1">
      <alignment horizontal="right" vertical="top" wrapText="1"/>
    </xf>
    <xf numFmtId="0" fontId="0" fillId="0" borderId="30" xfId="0" applyBorder="1" applyAlignment="1">
      <alignment horizontal="right" vertical="top" wrapText="1"/>
    </xf>
    <xf numFmtId="0" fontId="10" fillId="0" borderId="34" xfId="0" applyFont="1" applyBorder="1" applyAlignment="1">
      <alignment horizontal="center" vertical="top"/>
    </xf>
    <xf numFmtId="0" fontId="0" fillId="0" borderId="33" xfId="0" applyBorder="1" applyAlignment="1">
      <alignment horizontal="center" vertical="top"/>
    </xf>
    <xf numFmtId="0" fontId="0" fillId="8" borderId="31" xfId="0" applyFill="1" applyBorder="1" applyAlignment="1">
      <alignment horizontal="center" vertical="center"/>
    </xf>
    <xf numFmtId="0" fontId="10" fillId="0" borderId="25" xfId="0" applyFont="1" applyBorder="1" applyAlignment="1">
      <alignment horizontal="right" vertical="center"/>
    </xf>
    <xf numFmtId="0" fontId="0" fillId="0" borderId="26" xfId="0" applyBorder="1" applyAlignment="1">
      <alignment horizontal="right" vertical="center"/>
    </xf>
    <xf numFmtId="0" fontId="0" fillId="0" borderId="27" xfId="0" applyBorder="1" applyAlignment="1">
      <alignment horizontal="right" vertical="center"/>
    </xf>
    <xf numFmtId="49" fontId="0" fillId="8" borderId="31" xfId="0" applyNumberFormat="1" applyFill="1" applyBorder="1" applyAlignment="1">
      <alignment horizontal="center" vertical="top" shrinkToFit="1"/>
    </xf>
    <xf numFmtId="49" fontId="0" fillId="0" borderId="31" xfId="0" applyNumberFormat="1" applyBorder="1" applyAlignment="1">
      <alignment horizontal="center" vertical="top" shrinkToFit="1"/>
    </xf>
    <xf numFmtId="49" fontId="10" fillId="12" borderId="32" xfId="0" applyNumberFormat="1" applyFont="1" applyFill="1" applyBorder="1" applyAlignment="1">
      <alignment horizontal="center" vertical="top"/>
    </xf>
    <xf numFmtId="49" fontId="10" fillId="12" borderId="34" xfId="0" applyNumberFormat="1" applyFont="1" applyFill="1" applyBorder="1" applyAlignment="1">
      <alignment horizontal="center" vertical="top"/>
    </xf>
    <xf numFmtId="0" fontId="0" fillId="8" borderId="16" xfId="0" applyFill="1" applyBorder="1" applyAlignment="1">
      <alignment horizontal="center" vertical="center" shrinkToFit="1"/>
    </xf>
    <xf numFmtId="0" fontId="8" fillId="20" borderId="31" xfId="0" applyFont="1" applyFill="1" applyBorder="1" applyAlignment="1">
      <alignment vertical="center"/>
    </xf>
    <xf numFmtId="0" fontId="0" fillId="0" borderId="31" xfId="0" applyBorder="1" applyAlignment="1">
      <alignment wrapText="1"/>
    </xf>
    <xf numFmtId="0" fontId="0" fillId="0" borderId="31" xfId="0" applyBorder="1" applyAlignment="1">
      <alignment horizontal="left" vertical="top" wrapText="1" indent="3"/>
    </xf>
    <xf numFmtId="0" fontId="25" fillId="9" borderId="1" xfId="0" applyFont="1" applyFill="1" applyBorder="1" applyAlignment="1">
      <alignment horizontal="center" vertical="center"/>
    </xf>
    <xf numFmtId="0" fontId="10" fillId="4" borderId="1" xfId="0" applyFont="1" applyFill="1" applyBorder="1" applyAlignment="1">
      <alignment horizontal="left" vertical="top" wrapText="1" indent="1" shrinkToFit="1" readingOrder="1"/>
    </xf>
    <xf numFmtId="0" fontId="0" fillId="4" borderId="2" xfId="0" applyFill="1" applyBorder="1" applyAlignment="1">
      <alignment horizontal="left" vertical="top" wrapText="1" indent="1" shrinkToFit="1" readingOrder="1"/>
    </xf>
    <xf numFmtId="0" fontId="0" fillId="4" borderId="35" xfId="0" applyFill="1" applyBorder="1" applyAlignment="1">
      <alignment horizontal="left" vertical="top" wrapText="1" indent="1" shrinkToFit="1" readingOrder="1"/>
    </xf>
    <xf numFmtId="0" fontId="0" fillId="4" borderId="4" xfId="0" applyFill="1" applyBorder="1" applyAlignment="1">
      <alignment wrapText="1"/>
    </xf>
    <xf numFmtId="0" fontId="0" fillId="4" borderId="0" xfId="0" applyFill="1" applyAlignment="1">
      <alignment wrapText="1"/>
    </xf>
    <xf numFmtId="0" fontId="0" fillId="4" borderId="37" xfId="0" applyFill="1" applyBorder="1" applyAlignment="1">
      <alignment wrapText="1"/>
    </xf>
    <xf numFmtId="0" fontId="10" fillId="0" borderId="25" xfId="0" applyFont="1" applyBorder="1" applyAlignment="1">
      <alignment horizontal="right" vertical="top" wrapText="1"/>
    </xf>
    <xf numFmtId="0" fontId="0" fillId="0" borderId="26" xfId="0" applyBorder="1" applyAlignment="1">
      <alignment horizontal="right" vertical="top" wrapText="1"/>
    </xf>
    <xf numFmtId="0" fontId="0" fillId="0" borderId="27" xfId="0" applyBorder="1" applyAlignment="1">
      <alignment horizontal="right" vertical="top" wrapText="1"/>
    </xf>
    <xf numFmtId="0" fontId="8" fillId="20" borderId="4" xfId="0" applyFont="1" applyFill="1" applyBorder="1" applyAlignment="1">
      <alignment horizontal="left" vertical="center"/>
    </xf>
    <xf numFmtId="0" fontId="11" fillId="20" borderId="0" xfId="0" applyFont="1" applyFill="1" applyAlignment="1">
      <alignment horizontal="left" vertical="center"/>
    </xf>
    <xf numFmtId="0" fontId="0" fillId="8" borderId="133" xfId="0" applyFill="1" applyBorder="1" applyAlignment="1">
      <alignment horizontal="left" vertical="center" indent="2" readingOrder="1"/>
    </xf>
    <xf numFmtId="0" fontId="0" fillId="8" borderId="52" xfId="0" applyFill="1" applyBorder="1" applyAlignment="1">
      <alignment horizontal="left" vertical="center" indent="2" readingOrder="1"/>
    </xf>
    <xf numFmtId="0" fontId="0" fillId="0" borderId="53" xfId="0" applyBorder="1" applyAlignment="1">
      <alignment horizontal="left" indent="2" readingOrder="1"/>
    </xf>
    <xf numFmtId="0" fontId="0" fillId="8" borderId="38" xfId="0" applyFill="1" applyBorder="1" applyAlignment="1">
      <alignment horizontal="left" vertical="center" indent="2" readingOrder="1"/>
    </xf>
    <xf numFmtId="0" fontId="0" fillId="8" borderId="26" xfId="0" applyFill="1" applyBorder="1" applyAlignment="1">
      <alignment horizontal="left" vertical="center" indent="2" readingOrder="1"/>
    </xf>
    <xf numFmtId="0" fontId="0" fillId="0" borderId="27" xfId="0" applyBorder="1" applyAlignment="1">
      <alignment horizontal="left" indent="2"/>
    </xf>
    <xf numFmtId="0" fontId="0" fillId="8" borderId="40" xfId="0" applyFill="1" applyBorder="1" applyAlignment="1">
      <alignment horizontal="left" vertical="center" indent="2" readingOrder="1"/>
    </xf>
    <xf numFmtId="0" fontId="0" fillId="8" borderId="29" xfId="0" applyFill="1" applyBorder="1" applyAlignment="1">
      <alignment horizontal="left" vertical="center" indent="2" readingOrder="1"/>
    </xf>
    <xf numFmtId="0" fontId="0" fillId="0" borderId="30" xfId="0" applyBorder="1" applyAlignment="1">
      <alignment horizontal="left" indent="2"/>
    </xf>
    <xf numFmtId="0" fontId="49" fillId="20" borderId="31" xfId="0" applyFont="1" applyFill="1" applyBorder="1" applyAlignment="1">
      <alignment horizontal="center" vertical="center" wrapText="1"/>
    </xf>
    <xf numFmtId="0" fontId="10" fillId="12" borderId="32" xfId="0" applyFont="1" applyFill="1" applyBorder="1" applyAlignment="1">
      <alignment horizontal="left" vertical="top" wrapText="1"/>
    </xf>
    <xf numFmtId="0" fontId="10" fillId="12" borderId="32" xfId="0" applyFont="1" applyFill="1" applyBorder="1" applyAlignment="1">
      <alignment horizontal="center" vertical="top"/>
    </xf>
    <xf numFmtId="0" fontId="10" fillId="12" borderId="33" xfId="0" applyFont="1" applyFill="1" applyBorder="1" applyAlignment="1">
      <alignment horizontal="center" vertical="top"/>
    </xf>
    <xf numFmtId="0" fontId="0" fillId="8" borderId="16" xfId="0" applyFill="1" applyBorder="1" applyAlignment="1">
      <alignment horizontal="center" vertical="top" wrapText="1"/>
    </xf>
    <xf numFmtId="0" fontId="10" fillId="12" borderId="31" xfId="0" applyFont="1" applyFill="1" applyBorder="1" applyAlignment="1">
      <alignment horizontal="center" vertical="top"/>
    </xf>
    <xf numFmtId="0" fontId="31" fillId="5" borderId="16" xfId="0" applyFont="1" applyFill="1" applyBorder="1" applyAlignment="1">
      <alignment horizontal="left" vertical="center" wrapText="1"/>
    </xf>
    <xf numFmtId="0" fontId="31" fillId="5" borderId="17" xfId="0" applyFont="1" applyFill="1" applyBorder="1" applyAlignment="1">
      <alignment horizontal="left" vertical="center" wrapText="1"/>
    </xf>
    <xf numFmtId="0" fontId="31" fillId="5" borderId="18" xfId="0" applyFont="1" applyFill="1" applyBorder="1" applyAlignment="1">
      <alignment horizontal="left" vertical="center" wrapText="1"/>
    </xf>
    <xf numFmtId="0" fontId="10" fillId="12" borderId="17" xfId="0" applyFont="1" applyFill="1" applyBorder="1" applyAlignment="1">
      <alignment horizontal="left" vertical="top" wrapText="1"/>
    </xf>
    <xf numFmtId="0" fontId="10" fillId="12" borderId="18" xfId="0" applyFont="1" applyFill="1" applyBorder="1" applyAlignment="1">
      <alignment horizontal="left" vertical="top" wrapText="1"/>
    </xf>
    <xf numFmtId="0" fontId="0" fillId="12" borderId="32" xfId="0" applyFill="1" applyBorder="1" applyAlignment="1">
      <alignment horizontal="left" vertical="top" wrapText="1" indent="1"/>
    </xf>
    <xf numFmtId="0" fontId="0" fillId="10" borderId="31" xfId="0" applyFill="1" applyBorder="1" applyAlignment="1">
      <alignment horizontal="left" vertical="top" wrapText="1" indent="1"/>
    </xf>
    <xf numFmtId="0" fontId="0" fillId="0" borderId="32" xfId="0" applyBorder="1" applyAlignment="1">
      <alignment vertical="center" wrapText="1"/>
    </xf>
    <xf numFmtId="0" fontId="0" fillId="8" borderId="32" xfId="0" applyFill="1" applyBorder="1" applyAlignment="1">
      <alignment horizontal="left" vertical="top" wrapText="1"/>
    </xf>
    <xf numFmtId="0" fontId="0" fillId="8" borderId="33" xfId="0" applyFill="1" applyBorder="1" applyAlignment="1">
      <alignment horizontal="left" vertical="top" wrapText="1"/>
    </xf>
    <xf numFmtId="0" fontId="0" fillId="12" borderId="16" xfId="0" applyFill="1" applyBorder="1" applyAlignment="1">
      <alignment horizontal="left" vertical="top" wrapText="1" indent="1"/>
    </xf>
    <xf numFmtId="0" fontId="0" fillId="12" borderId="17" xfId="0" applyFill="1" applyBorder="1" applyAlignment="1">
      <alignment horizontal="left" vertical="top" wrapText="1" indent="1"/>
    </xf>
    <xf numFmtId="0" fontId="0" fillId="12" borderId="18" xfId="0" applyFill="1" applyBorder="1" applyAlignment="1">
      <alignment horizontal="left" vertical="top" wrapText="1" indent="1"/>
    </xf>
    <xf numFmtId="0" fontId="0" fillId="8" borderId="16" xfId="0" applyFill="1" applyBorder="1" applyAlignment="1">
      <alignment horizontal="center" vertical="center"/>
    </xf>
    <xf numFmtId="0" fontId="0" fillId="8" borderId="18" xfId="0" applyFill="1" applyBorder="1" applyAlignment="1">
      <alignment horizontal="center" vertical="center"/>
    </xf>
  </cellXfs>
  <cellStyles count="4">
    <cellStyle name="Hyperlink" xfId="1" builtinId="8"/>
    <cellStyle name="Normal" xfId="0" builtinId="0"/>
    <cellStyle name="Normal 2" xfId="3" xr:uid="{00000000-0005-0000-0000-000002000000}"/>
    <cellStyle name="Normal_WaterCalc 11 07 08" xfId="2" xr:uid="{00000000-0005-0000-0000-000003000000}"/>
  </cellStyles>
  <dxfs count="101">
    <dxf>
      <font>
        <b/>
        <i val="0"/>
        <color rgb="FFFF0000"/>
      </font>
      <fill>
        <patternFill>
          <bgColor rgb="FF00B050"/>
        </patternFill>
      </fill>
    </dxf>
    <dxf>
      <font>
        <b/>
        <i val="0"/>
        <color theme="0"/>
      </font>
      <fill>
        <patternFill>
          <bgColor rgb="FFC00000"/>
        </patternFill>
      </fill>
    </dxf>
    <dxf>
      <fill>
        <patternFill>
          <bgColor theme="6" tint="0.59996337778862885"/>
        </patternFill>
      </fill>
    </dxf>
    <dxf>
      <font>
        <b/>
        <i val="0"/>
        <color rgb="FFFFFF00"/>
      </font>
      <fill>
        <patternFill>
          <bgColor rgb="FFFF0000"/>
        </patternFill>
      </fill>
    </dxf>
    <dxf>
      <font>
        <color theme="1"/>
      </font>
      <fill>
        <patternFill>
          <bgColor rgb="FFFF0000"/>
        </patternFill>
      </fill>
    </dxf>
    <dxf>
      <font>
        <color theme="1"/>
      </font>
      <fill>
        <patternFill>
          <bgColor rgb="FFFF0000"/>
        </patternFill>
      </fill>
    </dxf>
    <dxf>
      <font>
        <b/>
        <i val="0"/>
        <color rgb="FFFFFF00"/>
      </font>
      <fill>
        <patternFill>
          <bgColor rgb="FFFF0000"/>
        </patternFill>
      </fill>
    </dxf>
    <dxf>
      <font>
        <b/>
        <i val="0"/>
        <strike val="0"/>
        <color rgb="FFFF0000"/>
      </font>
      <fill>
        <patternFill>
          <bgColor theme="9" tint="0.79998168889431442"/>
        </patternFill>
      </fill>
    </dxf>
    <dxf>
      <font>
        <b/>
        <i val="0"/>
        <color rgb="FFFF0000"/>
      </font>
      <numFmt numFmtId="0" formatCode="General"/>
      <fill>
        <patternFill>
          <bgColor theme="9" tint="0.79998168889431442"/>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border>
        <left style="thin">
          <color rgb="FF9C0006"/>
        </left>
        <right style="thin">
          <color rgb="FF9C0006"/>
        </right>
        <top style="thin">
          <color rgb="FF9C0006"/>
        </top>
        <bottom style="thin">
          <color rgb="FF9C0006"/>
        </bottom>
        <vertical/>
        <horizontal/>
      </border>
    </dxf>
    <dxf>
      <font>
        <color rgb="FF9C0006"/>
      </font>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color rgb="FF9C0006"/>
      </font>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strike val="0"/>
      </font>
      <fill>
        <patternFill>
          <bgColor rgb="FF800080"/>
        </patternFill>
      </fill>
    </dxf>
    <dxf>
      <font>
        <strike val="0"/>
      </font>
      <fill>
        <patternFill>
          <bgColor rgb="FF0000CC"/>
        </patternFill>
      </fill>
    </dxf>
    <dxf>
      <font>
        <strike val="0"/>
      </font>
      <fill>
        <patternFill>
          <bgColor rgb="FF008000"/>
        </patternFill>
      </fill>
    </dxf>
    <dxf>
      <font>
        <b/>
        <i val="0"/>
        <color rgb="FFFF0000"/>
      </font>
      <fill>
        <patternFill>
          <bgColor rgb="FFFFFF00"/>
        </patternFill>
      </fill>
    </dxf>
    <dxf>
      <font>
        <b/>
        <i val="0"/>
        <color rgb="FFFF0000"/>
      </font>
      <fill>
        <patternFill>
          <bgColor rgb="FFFFFF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theme="1"/>
      </font>
      <fill>
        <patternFill>
          <bgColor rgb="FFFF0000"/>
        </patternFill>
      </fill>
    </dxf>
    <dxf>
      <font>
        <b/>
        <i val="0"/>
        <color theme="1"/>
      </font>
      <fill>
        <patternFill>
          <bgColor rgb="FFFF0000"/>
        </patternFill>
      </fill>
    </dxf>
    <dxf>
      <font>
        <b/>
        <i val="0"/>
        <color auto="1"/>
      </font>
      <fill>
        <patternFill>
          <bgColor rgb="FFFF0000"/>
        </patternFill>
      </fill>
    </dxf>
    <dxf>
      <font>
        <b/>
        <i val="0"/>
        <color auto="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auto="1"/>
      </font>
      <fill>
        <patternFill>
          <bgColor rgb="FFFF0000"/>
        </patternFill>
      </fill>
    </dxf>
    <dxf>
      <font>
        <b/>
        <i val="0"/>
        <color theme="1"/>
      </font>
      <fill>
        <patternFill>
          <bgColor rgb="FFFF0000"/>
        </patternFill>
      </fill>
    </dxf>
    <dxf>
      <font>
        <b/>
        <i val="0"/>
        <color theme="1"/>
      </font>
      <fill>
        <patternFill>
          <bgColor rgb="FFFF0000"/>
        </patternFill>
      </fill>
    </dxf>
    <dxf>
      <font>
        <b/>
        <i val="0"/>
        <color auto="1"/>
      </font>
      <fill>
        <patternFill>
          <bgColor rgb="FFFF0000"/>
        </patternFill>
      </fill>
    </dxf>
    <dxf>
      <font>
        <b/>
        <i val="0"/>
        <color auto="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auto="1"/>
      </font>
      <fill>
        <patternFill>
          <bgColor rgb="FFFF0000"/>
        </patternFill>
      </fill>
    </dxf>
    <dxf>
      <font>
        <b/>
        <i val="0"/>
        <color theme="1"/>
      </font>
      <fill>
        <patternFill>
          <bgColor rgb="FFFF0000"/>
        </patternFill>
      </fill>
    </dxf>
    <dxf>
      <font>
        <b/>
        <i val="0"/>
        <color theme="1"/>
      </font>
      <fill>
        <patternFill>
          <bgColor rgb="FFFF0000"/>
        </patternFill>
      </fill>
    </dxf>
    <dxf>
      <font>
        <b/>
        <i val="0"/>
        <strike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auto="1"/>
      </font>
      <fill>
        <patternFill>
          <bgColor rgb="FFFF0000"/>
        </patternFill>
      </fill>
    </dxf>
    <dxf>
      <font>
        <b/>
        <i val="0"/>
        <color theme="1"/>
      </font>
      <fill>
        <patternFill>
          <bgColor rgb="FFFF0000"/>
        </patternFill>
      </fill>
    </dxf>
    <dxf>
      <font>
        <b/>
        <i val="0"/>
        <color auto="1"/>
      </font>
      <fill>
        <patternFill>
          <bgColor rgb="FFFF0000"/>
        </patternFill>
      </fill>
    </dxf>
    <dxf>
      <font>
        <b/>
        <i val="0"/>
        <color theme="1"/>
      </font>
      <fill>
        <patternFill>
          <bgColor rgb="FFFF0000"/>
        </patternFill>
      </fill>
    </dxf>
    <dxf>
      <font>
        <b/>
        <i val="0"/>
        <strike val="0"/>
        <color rgb="FFFF0000"/>
      </font>
      <fill>
        <patternFill>
          <bgColor rgb="FFFFFF00"/>
        </patternFill>
      </fill>
    </dxf>
    <dxf>
      <font>
        <b/>
        <i val="0"/>
        <color rgb="FFFF0000"/>
      </font>
      <numFmt numFmtId="0" formatCode="General"/>
      <fill>
        <patternFill>
          <bgColor theme="9" tint="0.79998168889431442"/>
        </patternFill>
      </fill>
    </dxf>
    <dxf>
      <font>
        <b/>
        <i val="0"/>
        <color auto="1"/>
      </font>
      <fill>
        <patternFill>
          <bgColor rgb="FFFF0000"/>
        </patternFill>
      </fill>
    </dxf>
    <dxf>
      <font>
        <b/>
        <i val="0"/>
        <strike val="0"/>
        <color rgb="FFFF0000"/>
      </font>
      <fill>
        <patternFill>
          <bgColor rgb="FFFFFF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rgb="FFFF0000"/>
      </font>
      <numFmt numFmtId="0" formatCode="General"/>
      <fill>
        <patternFill>
          <bgColor theme="9" tint="0.79998168889431442"/>
        </patternFill>
      </fill>
    </dxf>
    <dxf>
      <font>
        <b/>
        <i val="0"/>
        <strike val="0"/>
        <color rgb="FFFF0000"/>
      </font>
    </dxf>
    <dxf>
      <font>
        <b/>
        <i val="0"/>
        <color rgb="FFFF0000"/>
      </font>
    </dxf>
    <dxf>
      <font>
        <b/>
        <i val="0"/>
        <strike val="0"/>
        <color rgb="FFFF0000"/>
      </font>
    </dxf>
    <dxf>
      <font>
        <b/>
        <i val="0"/>
      </font>
      <fill>
        <patternFill>
          <bgColor rgb="FFFF0000"/>
        </patternFill>
      </fill>
    </dxf>
    <dxf>
      <font>
        <b/>
        <i val="0"/>
        <color rgb="FFFFFF00"/>
      </font>
      <fill>
        <patternFill>
          <bgColor rgb="FFFF0000"/>
        </patternFill>
      </fill>
    </dxf>
    <dxf>
      <font>
        <b/>
        <i val="0"/>
        <color rgb="FFFF0000"/>
      </font>
      <fill>
        <patternFill>
          <bgColor rgb="FFFFFF00"/>
        </patternFill>
      </fill>
    </dxf>
    <dxf>
      <font>
        <b/>
        <i val="0"/>
        <strike val="0"/>
        <color rgb="FFFF0000"/>
      </font>
      <fill>
        <patternFill>
          <bgColor rgb="FFFFFF00"/>
        </patternFill>
      </fill>
    </dxf>
    <dxf>
      <font>
        <b/>
        <i val="0"/>
        <color auto="1"/>
      </font>
      <fill>
        <patternFill patternType="none">
          <bgColor auto="1"/>
        </patternFill>
      </fill>
    </dxf>
    <dxf>
      <font>
        <b/>
        <i val="0"/>
        <color theme="1"/>
      </font>
      <fill>
        <patternFill>
          <bgColor rgb="FFFF0000"/>
        </patternFill>
      </fill>
    </dxf>
    <dxf>
      <font>
        <b/>
        <i val="0"/>
        <color theme="1"/>
      </font>
      <fill>
        <patternFill>
          <bgColor rgb="FFFF0000"/>
        </patternFill>
      </fill>
    </dxf>
    <dxf>
      <font>
        <b/>
        <i val="0"/>
        <color auto="1"/>
      </font>
      <fill>
        <patternFill>
          <bgColor rgb="FFFF0000"/>
        </patternFill>
      </fill>
    </dxf>
    <dxf>
      <font>
        <b/>
        <i val="0"/>
        <strike val="0"/>
        <color rgb="FFFF0000"/>
      </font>
      <fill>
        <patternFill>
          <bgColor rgb="FFFFFF00"/>
        </patternFill>
      </fill>
    </dxf>
    <dxf>
      <font>
        <b/>
        <i val="0"/>
        <color auto="1"/>
      </font>
      <fill>
        <patternFill>
          <bgColor rgb="FFFF0000"/>
        </patternFill>
      </fill>
    </dxf>
    <dxf>
      <font>
        <b/>
        <i val="0"/>
        <color auto="1"/>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strike/>
      </font>
      <fill>
        <patternFill>
          <bgColor rgb="FFFF0000"/>
        </patternFill>
      </fill>
    </dxf>
    <dxf>
      <font>
        <b/>
        <i val="0"/>
        <color rgb="FFFFFF00"/>
      </font>
      <fill>
        <patternFill>
          <bgColor rgb="FFFF0000"/>
        </patternFill>
      </fill>
    </dxf>
    <dxf>
      <font>
        <b/>
        <i val="0"/>
        <color rgb="FFFF0000"/>
      </font>
      <fill>
        <patternFill>
          <bgColor rgb="FFFFFF00"/>
        </patternFill>
      </fill>
    </dxf>
    <dxf>
      <border>
        <left style="thin">
          <color rgb="FF9C0006"/>
        </left>
        <right style="thin">
          <color rgb="FF9C0006"/>
        </right>
        <top style="thin">
          <color rgb="FF9C0006"/>
        </top>
        <bottom style="thin">
          <color rgb="FF9C0006"/>
        </bottom>
        <vertical/>
        <horizontal/>
      </border>
    </dxf>
    <dxf>
      <font>
        <color rgb="FF9C0006"/>
      </font>
    </dxf>
    <dxf>
      <font>
        <color rgb="FF9C0006"/>
      </font>
    </dxf>
    <dxf>
      <font>
        <b/>
        <i val="0"/>
        <color rgb="FFFF0000"/>
      </font>
      <fill>
        <patternFill>
          <bgColor rgb="FF00B050"/>
        </patternFill>
      </fill>
    </dxf>
    <dxf>
      <font>
        <b/>
        <i val="0"/>
        <color rgb="FFFF0000"/>
      </font>
      <fill>
        <patternFill>
          <bgColor rgb="FF00B050"/>
        </patternFill>
      </fill>
    </dxf>
  </dxfs>
  <tableStyles count="0" defaultTableStyle="TableStyleMedium2" defaultPivotStyle="PivotStyleLight16"/>
  <colors>
    <mruColors>
      <color rgb="FFE6FFCD"/>
      <color rgb="FF800080"/>
      <color rgb="FF0000CC"/>
      <color rgb="FF008000"/>
      <color rgb="FFCDFFE6"/>
      <color rgb="FFFFFFFF"/>
      <color rgb="FF7DC87D"/>
      <color rgb="FFDCFFCD"/>
      <color rgb="FF66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25718</xdr:rowOff>
    </xdr:from>
    <xdr:to>
      <xdr:col>3</xdr:col>
      <xdr:colOff>0</xdr:colOff>
      <xdr:row>0</xdr:row>
      <xdr:rowOff>891540</xdr:rowOff>
    </xdr:to>
    <xdr:pic>
      <xdr:nvPicPr>
        <xdr:cNvPr id="5" name="Picture 4">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13360" y="25718"/>
          <a:ext cx="2194560" cy="86582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47624</xdr:colOff>
      <xdr:row>0</xdr:row>
      <xdr:rowOff>44453</xdr:rowOff>
    </xdr:from>
    <xdr:to>
      <xdr:col>2</xdr:col>
      <xdr:colOff>609600</xdr:colOff>
      <xdr:row>4</xdr:row>
      <xdr:rowOff>101853</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47624" y="44453"/>
          <a:ext cx="2038351" cy="78606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85724</xdr:colOff>
      <xdr:row>0</xdr:row>
      <xdr:rowOff>38100</xdr:rowOff>
    </xdr:from>
    <xdr:to>
      <xdr:col>4</xdr:col>
      <xdr:colOff>594034</xdr:colOff>
      <xdr:row>5</xdr:row>
      <xdr:rowOff>42863</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85724" y="38100"/>
          <a:ext cx="2927660" cy="9096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30480</xdr:colOff>
      <xdr:row>0</xdr:row>
      <xdr:rowOff>25718</xdr:rowOff>
    </xdr:from>
    <xdr:to>
      <xdr:col>4</xdr:col>
      <xdr:colOff>0</xdr:colOff>
      <xdr:row>0</xdr:row>
      <xdr:rowOff>929640</xdr:rowOff>
    </xdr:to>
    <xdr:pic>
      <xdr:nvPicPr>
        <xdr:cNvPr id="4" name="Picture 3">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30480" y="25718"/>
          <a:ext cx="2659380" cy="9039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46892</xdr:colOff>
      <xdr:row>0</xdr:row>
      <xdr:rowOff>39200</xdr:rowOff>
    </xdr:from>
    <xdr:to>
      <xdr:col>3</xdr:col>
      <xdr:colOff>785446</xdr:colOff>
      <xdr:row>4</xdr:row>
      <xdr:rowOff>134450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46892" y="39200"/>
          <a:ext cx="2936631" cy="704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33339</xdr:colOff>
      <xdr:row>0</xdr:row>
      <xdr:rowOff>190499</xdr:rowOff>
    </xdr:from>
    <xdr:to>
      <xdr:col>3</xdr:col>
      <xdr:colOff>0</xdr:colOff>
      <xdr:row>4</xdr:row>
      <xdr:rowOff>155046</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33339" y="190499"/>
          <a:ext cx="2557461" cy="909427"/>
        </a:xfrm>
        <a:prstGeom prst="rect">
          <a:avLst/>
        </a:prstGeom>
      </xdr:spPr>
    </xdr:pic>
    <xdr:clientData/>
  </xdr:twoCellAnchor>
  <xdr:twoCellAnchor>
    <xdr:from>
      <xdr:col>19</xdr:col>
      <xdr:colOff>635000</xdr:colOff>
      <xdr:row>12</xdr:row>
      <xdr:rowOff>148167</xdr:rowOff>
    </xdr:from>
    <xdr:to>
      <xdr:col>24</xdr:col>
      <xdr:colOff>296334</xdr:colOff>
      <xdr:row>14</xdr:row>
      <xdr:rowOff>677333</xdr:rowOff>
    </xdr:to>
    <xdr:sp macro="" textlink="">
      <xdr:nvSpPr>
        <xdr:cNvPr id="4" name="TextBox 3">
          <a:extLst>
            <a:ext uri="{FF2B5EF4-FFF2-40B4-BE49-F238E27FC236}">
              <a16:creationId xmlns:a16="http://schemas.microsoft.com/office/drawing/2014/main" id="{2C8A377F-3F55-B377-C6FD-3AF6910ADDEA}"/>
            </a:ext>
          </a:extLst>
        </xdr:cNvPr>
        <xdr:cNvSpPr txBox="1"/>
      </xdr:nvSpPr>
      <xdr:spPr>
        <a:xfrm>
          <a:off x="13028083" y="2603500"/>
          <a:ext cx="3312584" cy="10265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19</xdr:col>
      <xdr:colOff>582083</xdr:colOff>
      <xdr:row>51</xdr:row>
      <xdr:rowOff>63500</xdr:rowOff>
    </xdr:from>
    <xdr:to>
      <xdr:col>23</xdr:col>
      <xdr:colOff>158749</xdr:colOff>
      <xdr:row>53</xdr:row>
      <xdr:rowOff>84667</xdr:rowOff>
    </xdr:to>
    <xdr:sp macro="" textlink="">
      <xdr:nvSpPr>
        <xdr:cNvPr id="5" name="TextBox 4">
          <a:extLst>
            <a:ext uri="{FF2B5EF4-FFF2-40B4-BE49-F238E27FC236}">
              <a16:creationId xmlns:a16="http://schemas.microsoft.com/office/drawing/2014/main" id="{0BBE73B9-799C-4FC0-C2BF-AF36A9B04546}"/>
            </a:ext>
          </a:extLst>
        </xdr:cNvPr>
        <xdr:cNvSpPr txBox="1"/>
      </xdr:nvSpPr>
      <xdr:spPr>
        <a:xfrm>
          <a:off x="12975166" y="7154333"/>
          <a:ext cx="2476500" cy="5291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19</xdr:col>
      <xdr:colOff>158750</xdr:colOff>
      <xdr:row>55</xdr:row>
      <xdr:rowOff>74084</xdr:rowOff>
    </xdr:from>
    <xdr:to>
      <xdr:col>23</xdr:col>
      <xdr:colOff>10583</xdr:colOff>
      <xdr:row>57</xdr:row>
      <xdr:rowOff>52917</xdr:rowOff>
    </xdr:to>
    <xdr:sp macro="" textlink="">
      <xdr:nvSpPr>
        <xdr:cNvPr id="6" name="TextBox 5">
          <a:extLst>
            <a:ext uri="{FF2B5EF4-FFF2-40B4-BE49-F238E27FC236}">
              <a16:creationId xmlns:a16="http://schemas.microsoft.com/office/drawing/2014/main" id="{C7B1C54D-2FDA-C473-D640-C6AC1E4310B3}"/>
            </a:ext>
          </a:extLst>
        </xdr:cNvPr>
        <xdr:cNvSpPr txBox="1"/>
      </xdr:nvSpPr>
      <xdr:spPr>
        <a:xfrm>
          <a:off x="12551833" y="9535584"/>
          <a:ext cx="2751667" cy="13546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19</xdr:col>
      <xdr:colOff>211667</xdr:colOff>
      <xdr:row>58</xdr:row>
      <xdr:rowOff>63500</xdr:rowOff>
    </xdr:from>
    <xdr:to>
      <xdr:col>22</xdr:col>
      <xdr:colOff>730250</xdr:colOff>
      <xdr:row>61</xdr:row>
      <xdr:rowOff>772583</xdr:rowOff>
    </xdr:to>
    <xdr:sp macro="" textlink="">
      <xdr:nvSpPr>
        <xdr:cNvPr id="7" name="TextBox 6">
          <a:extLst>
            <a:ext uri="{FF2B5EF4-FFF2-40B4-BE49-F238E27FC236}">
              <a16:creationId xmlns:a16="http://schemas.microsoft.com/office/drawing/2014/main" id="{0758A0BD-46F5-1FE1-2F29-D6D570AAC501}"/>
            </a:ext>
          </a:extLst>
        </xdr:cNvPr>
        <xdr:cNvSpPr txBox="1"/>
      </xdr:nvSpPr>
      <xdr:spPr>
        <a:xfrm>
          <a:off x="12604750" y="11091333"/>
          <a:ext cx="2667000" cy="24341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19</xdr:col>
      <xdr:colOff>381000</xdr:colOff>
      <xdr:row>64</xdr:row>
      <xdr:rowOff>190500</xdr:rowOff>
    </xdr:from>
    <xdr:to>
      <xdr:col>22</xdr:col>
      <xdr:colOff>613833</xdr:colOff>
      <xdr:row>65</xdr:row>
      <xdr:rowOff>857250</xdr:rowOff>
    </xdr:to>
    <xdr:sp macro="" textlink="">
      <xdr:nvSpPr>
        <xdr:cNvPr id="8" name="TextBox 7">
          <a:extLst>
            <a:ext uri="{FF2B5EF4-FFF2-40B4-BE49-F238E27FC236}">
              <a16:creationId xmlns:a16="http://schemas.microsoft.com/office/drawing/2014/main" id="{57AF7120-2EFE-F784-F5E7-C8DFF57D8C3A}"/>
            </a:ext>
          </a:extLst>
        </xdr:cNvPr>
        <xdr:cNvSpPr txBox="1"/>
      </xdr:nvSpPr>
      <xdr:spPr>
        <a:xfrm>
          <a:off x="12774083" y="15705667"/>
          <a:ext cx="2381250" cy="14393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19</xdr:col>
      <xdr:colOff>391584</xdr:colOff>
      <xdr:row>68</xdr:row>
      <xdr:rowOff>42334</xdr:rowOff>
    </xdr:from>
    <xdr:to>
      <xdr:col>22</xdr:col>
      <xdr:colOff>539750</xdr:colOff>
      <xdr:row>69</xdr:row>
      <xdr:rowOff>285750</xdr:rowOff>
    </xdr:to>
    <xdr:sp macro="" textlink="">
      <xdr:nvSpPr>
        <xdr:cNvPr id="9" name="TextBox 8">
          <a:extLst>
            <a:ext uri="{FF2B5EF4-FFF2-40B4-BE49-F238E27FC236}">
              <a16:creationId xmlns:a16="http://schemas.microsoft.com/office/drawing/2014/main" id="{83D14A72-4961-9BB9-D5EA-8B63C595BDCF}"/>
            </a:ext>
          </a:extLst>
        </xdr:cNvPr>
        <xdr:cNvSpPr txBox="1"/>
      </xdr:nvSpPr>
      <xdr:spPr>
        <a:xfrm>
          <a:off x="12784667" y="18912417"/>
          <a:ext cx="2296583" cy="6244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editAs="oneCell">
    <xdr:from>
      <xdr:col>2</xdr:col>
      <xdr:colOff>618068</xdr:colOff>
      <xdr:row>153</xdr:row>
      <xdr:rowOff>42334</xdr:rowOff>
    </xdr:from>
    <xdr:to>
      <xdr:col>9</xdr:col>
      <xdr:colOff>59266</xdr:colOff>
      <xdr:row>153</xdr:row>
      <xdr:rowOff>1946910</xdr:rowOff>
    </xdr:to>
    <xdr:pic>
      <xdr:nvPicPr>
        <xdr:cNvPr id="13" name="Picture 12">
          <a:extLst>
            <a:ext uri="{FF2B5EF4-FFF2-40B4-BE49-F238E27FC236}">
              <a16:creationId xmlns:a16="http://schemas.microsoft.com/office/drawing/2014/main" id="{FD8486A5-32BC-D5F8-A4FC-5DE369165EDB}"/>
            </a:ext>
          </a:extLst>
        </xdr:cNvPr>
        <xdr:cNvPicPr>
          <a:picLocks noChangeAspect="1"/>
        </xdr:cNvPicPr>
      </xdr:nvPicPr>
      <xdr:blipFill>
        <a:blip xmlns:r="http://schemas.openxmlformats.org/officeDocument/2006/relationships" r:embed="rId2"/>
        <a:stretch>
          <a:fillRect/>
        </a:stretch>
      </xdr:blipFill>
      <xdr:spPr>
        <a:xfrm>
          <a:off x="1549401" y="67775667"/>
          <a:ext cx="3979332" cy="19045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11289</xdr:colOff>
      <xdr:row>0</xdr:row>
      <xdr:rowOff>16933</xdr:rowOff>
    </xdr:from>
    <xdr:to>
      <xdr:col>1</xdr:col>
      <xdr:colOff>1862665</xdr:colOff>
      <xdr:row>4</xdr:row>
      <xdr:rowOff>146755</xdr:rowOff>
    </xdr:to>
    <xdr:pic>
      <xdr:nvPicPr>
        <xdr:cNvPr id="5" name="Picture 4">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1289" y="16933"/>
          <a:ext cx="2810932" cy="85231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47190</xdr:colOff>
      <xdr:row>0</xdr:row>
      <xdr:rowOff>0</xdr:rowOff>
    </xdr:from>
    <xdr:to>
      <xdr:col>1</xdr:col>
      <xdr:colOff>940749</xdr:colOff>
      <xdr:row>4</xdr:row>
      <xdr:rowOff>172402</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47190" y="0"/>
          <a:ext cx="1749974" cy="89513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45720</xdr:colOff>
      <xdr:row>0</xdr:row>
      <xdr:rowOff>44453</xdr:rowOff>
    </xdr:from>
    <xdr:to>
      <xdr:col>2</xdr:col>
      <xdr:colOff>135255</xdr:colOff>
      <xdr:row>4</xdr:row>
      <xdr:rowOff>138655</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45720" y="225428"/>
          <a:ext cx="1784985" cy="84066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44451</xdr:rowOff>
    </xdr:from>
    <xdr:to>
      <xdr:col>2</xdr:col>
      <xdr:colOff>1616721</xdr:colOff>
      <xdr:row>4</xdr:row>
      <xdr:rowOff>90488</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44451"/>
          <a:ext cx="2545409" cy="75088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8</xdr:col>
      <xdr:colOff>248445</xdr:colOff>
      <xdr:row>6</xdr:row>
      <xdr:rowOff>142875</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38100" y="38100"/>
          <a:ext cx="3105945" cy="11906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4">
    <pageSetUpPr fitToPage="1"/>
  </sheetPr>
  <dimension ref="A1:K12"/>
  <sheetViews>
    <sheetView topLeftCell="A8" workbookViewId="0">
      <selection activeCell="A3" sqref="A3:I3"/>
    </sheetView>
  </sheetViews>
  <sheetFormatPr defaultColWidth="8.85546875" defaultRowHeight="15" x14ac:dyDescent="0.25"/>
  <cols>
    <col min="1" max="1" width="13.42578125" customWidth="1"/>
    <col min="3" max="4" width="12.7109375" customWidth="1"/>
    <col min="5" max="5" width="16.7109375" customWidth="1"/>
    <col min="6" max="6" width="12.7109375" customWidth="1"/>
    <col min="10" max="10" width="2" customWidth="1"/>
    <col min="11" max="11" width="26" customWidth="1"/>
  </cols>
  <sheetData>
    <row r="1" spans="1:11" ht="73.900000000000006" customHeight="1" x14ac:dyDescent="0.25">
      <c r="A1" s="104"/>
      <c r="B1" s="93"/>
      <c r="C1" s="93"/>
      <c r="D1" s="296" t="s">
        <v>1170</v>
      </c>
      <c r="E1" s="297">
        <v>2024.08</v>
      </c>
      <c r="F1" s="418" t="s">
        <v>1162</v>
      </c>
      <c r="G1" s="418"/>
      <c r="H1" s="418"/>
      <c r="I1" s="419"/>
      <c r="K1" s="81"/>
    </row>
    <row r="2" spans="1:11" ht="15.75" x14ac:dyDescent="0.25">
      <c r="A2" s="422" t="s">
        <v>1161</v>
      </c>
      <c r="B2" s="423"/>
      <c r="C2" s="423"/>
      <c r="D2" s="423"/>
      <c r="E2" s="423"/>
      <c r="F2" s="423"/>
      <c r="G2" s="423"/>
      <c r="H2" s="423"/>
      <c r="I2" s="424"/>
    </row>
    <row r="3" spans="1:11" ht="90" customHeight="1" thickBot="1" x14ac:dyDescent="0.3">
      <c r="A3" s="425" t="s">
        <v>1158</v>
      </c>
      <c r="B3" s="426"/>
      <c r="C3" s="426"/>
      <c r="D3" s="426"/>
      <c r="E3" s="426"/>
      <c r="F3" s="426"/>
      <c r="G3" s="426"/>
      <c r="H3" s="426"/>
      <c r="I3" s="427"/>
    </row>
    <row r="4" spans="1:11" ht="90" customHeight="1" thickBot="1" x14ac:dyDescent="0.3">
      <c r="A4" s="428" t="s">
        <v>1145</v>
      </c>
      <c r="B4" s="429"/>
      <c r="C4" s="429"/>
      <c r="D4" s="429"/>
      <c r="E4" s="429"/>
      <c r="F4" s="429"/>
      <c r="G4" s="429"/>
      <c r="H4" s="429"/>
      <c r="I4" s="430"/>
    </row>
    <row r="5" spans="1:11" ht="90" customHeight="1" thickBot="1" x14ac:dyDescent="0.3">
      <c r="A5" s="428" t="s">
        <v>1309</v>
      </c>
      <c r="B5" s="429"/>
      <c r="C5" s="429"/>
      <c r="D5" s="429"/>
      <c r="E5" s="429"/>
      <c r="F5" s="429"/>
      <c r="G5" s="429"/>
      <c r="H5" s="429"/>
      <c r="I5" s="430"/>
    </row>
    <row r="6" spans="1:11" ht="60" customHeight="1" x14ac:dyDescent="0.25">
      <c r="A6" s="431" t="s">
        <v>1310</v>
      </c>
      <c r="B6" s="432"/>
      <c r="C6" s="432"/>
      <c r="D6" s="432"/>
      <c r="E6" s="432"/>
      <c r="F6" s="432"/>
      <c r="G6" s="432"/>
      <c r="H6" s="432"/>
      <c r="I6" s="433"/>
    </row>
    <row r="7" spans="1:11" ht="15.75" x14ac:dyDescent="0.25">
      <c r="A7" s="434" t="s">
        <v>1144</v>
      </c>
      <c r="B7" s="435"/>
      <c r="C7" s="435"/>
      <c r="D7" s="435"/>
      <c r="E7" s="435"/>
      <c r="F7" s="435"/>
      <c r="G7" s="435"/>
      <c r="H7" s="435"/>
      <c r="I7" s="436"/>
    </row>
    <row r="8" spans="1:11" ht="30" x14ac:dyDescent="0.25">
      <c r="A8" s="437" t="s">
        <v>102</v>
      </c>
      <c r="B8" s="437"/>
      <c r="C8" s="298" t="s">
        <v>1160</v>
      </c>
      <c r="D8" s="298" t="s">
        <v>2</v>
      </c>
      <c r="E8" s="298" t="s">
        <v>3</v>
      </c>
      <c r="F8" s="299" t="s">
        <v>1388</v>
      </c>
      <c r="G8" s="438" t="s">
        <v>374</v>
      </c>
      <c r="H8" s="438"/>
      <c r="I8" s="438"/>
    </row>
    <row r="9" spans="1:11" ht="75" x14ac:dyDescent="0.25">
      <c r="A9" s="420" t="s">
        <v>1159</v>
      </c>
      <c r="B9" s="420"/>
      <c r="C9" s="130" t="s">
        <v>1389</v>
      </c>
      <c r="D9" s="130" t="s">
        <v>1057</v>
      </c>
      <c r="E9" s="130" t="s">
        <v>1058</v>
      </c>
      <c r="F9" s="130">
        <v>0</v>
      </c>
      <c r="G9" s="421" t="s">
        <v>1176</v>
      </c>
      <c r="H9" s="421"/>
      <c r="I9" s="421"/>
    </row>
    <row r="10" spans="1:11" ht="91.15" customHeight="1" x14ac:dyDescent="0.25">
      <c r="A10" s="420" t="s">
        <v>0</v>
      </c>
      <c r="B10" s="420"/>
      <c r="C10" s="130" t="s">
        <v>1390</v>
      </c>
      <c r="D10" s="130" t="s">
        <v>1392</v>
      </c>
      <c r="E10" s="130" t="s">
        <v>1394</v>
      </c>
      <c r="F10" s="130">
        <v>45</v>
      </c>
      <c r="G10" s="421" t="s">
        <v>1311</v>
      </c>
      <c r="H10" s="421"/>
      <c r="I10" s="421"/>
    </row>
    <row r="11" spans="1:11" ht="103.15" customHeight="1" x14ac:dyDescent="0.25">
      <c r="A11" s="420" t="s">
        <v>1</v>
      </c>
      <c r="B11" s="420"/>
      <c r="C11" s="130" t="s">
        <v>1391</v>
      </c>
      <c r="D11" s="130" t="s">
        <v>1393</v>
      </c>
      <c r="E11" s="130" t="s">
        <v>1395</v>
      </c>
      <c r="F11" s="130">
        <v>60</v>
      </c>
      <c r="G11" s="421"/>
      <c r="H11" s="421"/>
      <c r="I11" s="421"/>
    </row>
    <row r="12" spans="1:11" x14ac:dyDescent="0.25">
      <c r="I12" s="300"/>
    </row>
  </sheetData>
  <sheetProtection algorithmName="SHA-512" hashValue="33eQ/1NfDsODEefGwA9PA3flcVVwR6d4HegiOxNM9wh46JfunIQ2vbkmgelVe542SFauUzc1+ogElbNOr74m5g==" saltValue="mdM7DdLYGGQzwuRSM/PYeg==" spinCount="100000" sheet="1" objects="1" scenarios="1" formatRows="0" selectLockedCells="1"/>
  <mergeCells count="14">
    <mergeCell ref="F1:I1"/>
    <mergeCell ref="A9:B9"/>
    <mergeCell ref="G9:I9"/>
    <mergeCell ref="A10:B10"/>
    <mergeCell ref="G10:I11"/>
    <mergeCell ref="A11:B11"/>
    <mergeCell ref="A2:I2"/>
    <mergeCell ref="A3:I3"/>
    <mergeCell ref="A4:I4"/>
    <mergeCell ref="A5:I5"/>
    <mergeCell ref="A6:I6"/>
    <mergeCell ref="A7:I7"/>
    <mergeCell ref="A8:B8"/>
    <mergeCell ref="G8:I8"/>
  </mergeCells>
  <printOptions horizontalCentered="1"/>
  <pageMargins left="0.6" right="0.6" top="0.75" bottom="0.4" header="0.3" footer="0.2"/>
  <pageSetup scale="89" orientation="portrait" r:id="rId1"/>
  <headerFooter>
    <oddHeader>&amp;L&amp;F&amp;R&amp;A</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P81"/>
  <sheetViews>
    <sheetView workbookViewId="0">
      <selection activeCell="H156" sqref="H156"/>
    </sheetView>
  </sheetViews>
  <sheetFormatPr defaultColWidth="11.28515625" defaultRowHeight="15" x14ac:dyDescent="0.25"/>
  <cols>
    <col min="1" max="6" width="6.28515625" customWidth="1"/>
    <col min="7" max="7" width="5.28515625" customWidth="1"/>
    <col min="8" max="8" width="6.28515625" customWidth="1"/>
    <col min="9" max="16" width="7" customWidth="1"/>
  </cols>
  <sheetData>
    <row r="1" spans="1:16" x14ac:dyDescent="0.25">
      <c r="A1" s="104"/>
      <c r="B1" s="93"/>
      <c r="C1" s="93"/>
      <c r="D1" s="93"/>
      <c r="E1" s="93"/>
      <c r="F1" s="93"/>
      <c r="G1" s="93"/>
      <c r="H1" s="1432"/>
      <c r="I1" s="1432"/>
      <c r="J1" s="1432"/>
      <c r="K1" s="1432"/>
      <c r="L1" s="1705" t="s">
        <v>621</v>
      </c>
      <c r="M1" s="1705"/>
      <c r="N1" s="1705"/>
      <c r="O1" s="1705"/>
      <c r="P1" s="1706"/>
    </row>
    <row r="2" spans="1:16" x14ac:dyDescent="0.25">
      <c r="A2" s="277"/>
      <c r="H2" s="706"/>
      <c r="I2" s="706"/>
      <c r="J2" s="706"/>
      <c r="K2" s="706"/>
      <c r="L2" s="1707"/>
      <c r="M2" s="1707"/>
      <c r="N2" s="1707"/>
      <c r="O2" s="1707"/>
      <c r="P2" s="1708"/>
    </row>
    <row r="3" spans="1:16" x14ac:dyDescent="0.25">
      <c r="A3" s="277"/>
      <c r="H3" s="706"/>
      <c r="I3" s="706"/>
      <c r="J3" s="706"/>
      <c r="K3" s="706"/>
      <c r="L3" s="1707"/>
      <c r="M3" s="1707"/>
      <c r="N3" s="1707"/>
      <c r="O3" s="1707"/>
      <c r="P3" s="1708"/>
    </row>
    <row r="4" spans="1:16" x14ac:dyDescent="0.25">
      <c r="A4" s="277"/>
      <c r="H4" s="706"/>
      <c r="I4" s="706"/>
      <c r="J4" s="706"/>
      <c r="K4" s="706"/>
      <c r="L4" s="1707"/>
      <c r="M4" s="1707"/>
      <c r="N4" s="1707"/>
      <c r="O4" s="1707"/>
      <c r="P4" s="1708"/>
    </row>
    <row r="5" spans="1:16" x14ac:dyDescent="0.25">
      <c r="A5" s="277"/>
      <c r="H5" s="706"/>
      <c r="I5" s="706"/>
      <c r="J5" s="706"/>
      <c r="K5" s="706"/>
      <c r="L5" s="1707"/>
      <c r="M5" s="1707"/>
      <c r="N5" s="1707"/>
      <c r="O5" s="1707"/>
      <c r="P5" s="1708"/>
    </row>
    <row r="6" spans="1:16" x14ac:dyDescent="0.25">
      <c r="A6" s="277"/>
      <c r="H6" s="706"/>
      <c r="I6" s="706"/>
      <c r="J6" s="706"/>
      <c r="K6" s="706"/>
      <c r="L6" s="1707"/>
      <c r="M6" s="1707"/>
      <c r="N6" s="1707"/>
      <c r="O6" s="1707"/>
      <c r="P6" s="1708"/>
    </row>
    <row r="7" spans="1:16" x14ac:dyDescent="0.25">
      <c r="A7" s="277"/>
      <c r="H7" s="706"/>
      <c r="I7" s="706"/>
      <c r="J7" s="706"/>
      <c r="K7" s="706"/>
      <c r="L7" s="1725"/>
      <c r="M7" s="1725"/>
      <c r="N7" s="1725"/>
      <c r="O7" s="1725"/>
      <c r="P7" s="1726"/>
    </row>
    <row r="8" spans="1:16" ht="45" customHeight="1" x14ac:dyDescent="0.25">
      <c r="A8" s="1727" t="s">
        <v>622</v>
      </c>
      <c r="B8" s="1728"/>
      <c r="C8" s="1728"/>
      <c r="D8" s="1728"/>
      <c r="E8" s="1727" t="s">
        <v>623</v>
      </c>
      <c r="F8" s="1728"/>
      <c r="G8" s="1728"/>
      <c r="H8" s="1728"/>
      <c r="I8" s="1729" t="s">
        <v>624</v>
      </c>
      <c r="J8" s="1730"/>
      <c r="K8" s="1729" t="s">
        <v>625</v>
      </c>
      <c r="L8" s="1730"/>
      <c r="M8" s="1729" t="s">
        <v>626</v>
      </c>
      <c r="N8" s="1730"/>
      <c r="O8" s="1729" t="s">
        <v>627</v>
      </c>
      <c r="P8" s="1730"/>
    </row>
    <row r="9" spans="1:16" ht="72" customHeight="1" x14ac:dyDescent="0.25">
      <c r="A9" s="1731" t="s">
        <v>628</v>
      </c>
      <c r="B9" s="1731"/>
      <c r="C9" s="1731"/>
      <c r="D9" s="1731"/>
      <c r="E9" s="1731"/>
      <c r="F9" s="1731"/>
      <c r="G9" s="1731"/>
      <c r="H9" s="1731"/>
      <c r="I9" s="1731"/>
      <c r="J9" s="1731"/>
      <c r="K9" s="1731"/>
      <c r="L9" s="1731"/>
      <c r="M9" s="1731"/>
      <c r="N9" s="1731"/>
      <c r="O9" s="1731"/>
      <c r="P9" s="1731"/>
    </row>
    <row r="10" spans="1:16" x14ac:dyDescent="0.25">
      <c r="A10" s="1722" t="s">
        <v>629</v>
      </c>
      <c r="B10" s="1722"/>
      <c r="C10" s="1722"/>
      <c r="D10" s="1722"/>
      <c r="E10" s="1723" t="s">
        <v>630</v>
      </c>
      <c r="F10" s="1723"/>
      <c r="G10" s="1723"/>
      <c r="H10" s="1723"/>
      <c r="I10" s="1724">
        <v>6380</v>
      </c>
      <c r="J10" s="1724"/>
      <c r="K10" s="1724">
        <v>5872</v>
      </c>
      <c r="L10" s="1724"/>
      <c r="M10" s="1724"/>
      <c r="N10" s="1724"/>
      <c r="O10" s="1111" t="s">
        <v>631</v>
      </c>
      <c r="P10" s="1111"/>
    </row>
    <row r="11" spans="1:16" x14ac:dyDescent="0.25">
      <c r="A11" s="1722" t="s">
        <v>632</v>
      </c>
      <c r="B11" s="1722"/>
      <c r="C11" s="1722"/>
      <c r="D11" s="1722"/>
      <c r="E11" s="1723" t="s">
        <v>633</v>
      </c>
      <c r="F11" s="1723"/>
      <c r="G11" s="1723"/>
      <c r="H11" s="1723"/>
      <c r="I11" s="1724">
        <v>8406</v>
      </c>
      <c r="J11" s="1724"/>
      <c r="K11" s="1724">
        <v>9769</v>
      </c>
      <c r="L11" s="1724"/>
      <c r="M11" s="1724">
        <v>195</v>
      </c>
      <c r="N11" s="1724"/>
      <c r="O11" s="1111" t="s">
        <v>634</v>
      </c>
      <c r="P11" s="1111"/>
    </row>
    <row r="12" spans="1:16" x14ac:dyDescent="0.25">
      <c r="A12" s="1722" t="s">
        <v>784</v>
      </c>
      <c r="B12" s="1722"/>
      <c r="C12" s="1722"/>
      <c r="D12" s="1722"/>
      <c r="E12" s="1723" t="s">
        <v>635</v>
      </c>
      <c r="F12" s="1723"/>
      <c r="G12" s="1723"/>
      <c r="H12" s="1723"/>
      <c r="I12" s="1724">
        <v>4350</v>
      </c>
      <c r="J12" s="1724"/>
      <c r="K12" s="1724">
        <v>3053</v>
      </c>
      <c r="L12" s="1724"/>
      <c r="M12" s="1724">
        <v>5309</v>
      </c>
      <c r="N12" s="1724"/>
      <c r="O12" s="1111" t="s">
        <v>636</v>
      </c>
      <c r="P12" s="1111"/>
    </row>
    <row r="13" spans="1:16" x14ac:dyDescent="0.25">
      <c r="A13" s="1722" t="s">
        <v>637</v>
      </c>
      <c r="B13" s="1722"/>
      <c r="C13" s="1722"/>
      <c r="D13" s="1722"/>
      <c r="E13" s="1723" t="s">
        <v>638</v>
      </c>
      <c r="F13" s="1723"/>
      <c r="G13" s="1723"/>
      <c r="H13" s="1723"/>
      <c r="I13" s="1724">
        <v>5312</v>
      </c>
      <c r="J13" s="1724"/>
      <c r="K13" s="1724">
        <v>4332</v>
      </c>
      <c r="L13" s="1724"/>
      <c r="M13" s="1724">
        <v>4462</v>
      </c>
      <c r="N13" s="1724"/>
      <c r="O13" s="1111" t="s">
        <v>639</v>
      </c>
      <c r="P13" s="1111"/>
    </row>
    <row r="14" spans="1:16" x14ac:dyDescent="0.25">
      <c r="A14" s="1722" t="s">
        <v>640</v>
      </c>
      <c r="B14" s="1722"/>
      <c r="C14" s="1722"/>
      <c r="D14" s="1722"/>
      <c r="E14" s="1723" t="s">
        <v>641</v>
      </c>
      <c r="F14" s="1723"/>
      <c r="G14" s="1723"/>
      <c r="H14" s="1723"/>
      <c r="I14" s="1724">
        <v>3380</v>
      </c>
      <c r="J14" s="1724"/>
      <c r="K14" s="1724">
        <v>3366</v>
      </c>
      <c r="L14" s="1724"/>
      <c r="M14" s="1724">
        <v>5374</v>
      </c>
      <c r="N14" s="1724"/>
      <c r="O14" s="1111" t="s">
        <v>636</v>
      </c>
      <c r="P14" s="1111"/>
    </row>
    <row r="15" spans="1:16" x14ac:dyDescent="0.25">
      <c r="A15" s="1722" t="s">
        <v>642</v>
      </c>
      <c r="B15" s="1722"/>
      <c r="C15" s="1722"/>
      <c r="D15" s="1722"/>
      <c r="E15" s="1723" t="s">
        <v>643</v>
      </c>
      <c r="F15" s="1723"/>
      <c r="G15" s="1723"/>
      <c r="H15" s="1723"/>
      <c r="I15" s="1724">
        <v>5644</v>
      </c>
      <c r="J15" s="1724"/>
      <c r="K15" s="1724">
        <v>5757</v>
      </c>
      <c r="L15" s="1724"/>
      <c r="M15" s="1724"/>
      <c r="N15" s="1724"/>
      <c r="O15" s="1111" t="s">
        <v>631</v>
      </c>
      <c r="P15" s="1111"/>
    </row>
    <row r="16" spans="1:16" x14ac:dyDescent="0.25">
      <c r="A16" s="1722" t="s">
        <v>644</v>
      </c>
      <c r="B16" s="1722"/>
      <c r="C16" s="1722"/>
      <c r="D16" s="1722"/>
      <c r="E16" s="1723" t="s">
        <v>645</v>
      </c>
      <c r="F16" s="1723"/>
      <c r="G16" s="1723"/>
      <c r="H16" s="1723"/>
      <c r="I16" s="1724">
        <v>4800</v>
      </c>
      <c r="J16" s="1724"/>
      <c r="K16" s="1724">
        <v>4432</v>
      </c>
      <c r="L16" s="1724"/>
      <c r="M16" s="1724">
        <v>5012</v>
      </c>
      <c r="N16" s="1724"/>
      <c r="O16" s="1111" t="s">
        <v>636</v>
      </c>
      <c r="P16" s="1111"/>
    </row>
    <row r="17" spans="1:16" x14ac:dyDescent="0.25">
      <c r="A17" s="1722" t="s">
        <v>638</v>
      </c>
      <c r="B17" s="1722"/>
      <c r="C17" s="1722"/>
      <c r="D17" s="1722"/>
      <c r="E17" s="1723" t="s">
        <v>646</v>
      </c>
      <c r="F17" s="1723"/>
      <c r="G17" s="1723"/>
      <c r="H17" s="1723"/>
      <c r="I17" s="1724">
        <v>5052</v>
      </c>
      <c r="J17" s="1724"/>
      <c r="K17" s="1724">
        <v>4782</v>
      </c>
      <c r="L17" s="1724"/>
      <c r="M17" s="1724">
        <v>4138</v>
      </c>
      <c r="N17" s="1724"/>
      <c r="O17" s="1111" t="s">
        <v>639</v>
      </c>
      <c r="P17" s="1111"/>
    </row>
    <row r="18" spans="1:16" x14ac:dyDescent="0.25">
      <c r="A18" s="1722" t="s">
        <v>647</v>
      </c>
      <c r="B18" s="1722"/>
      <c r="C18" s="1722"/>
      <c r="D18" s="1722"/>
      <c r="E18" s="1723" t="s">
        <v>643</v>
      </c>
      <c r="F18" s="1723"/>
      <c r="G18" s="1723"/>
      <c r="H18" s="1723"/>
      <c r="I18" s="1724">
        <v>5456</v>
      </c>
      <c r="J18" s="1724"/>
      <c r="K18" s="1724">
        <v>5490</v>
      </c>
      <c r="L18" s="1724"/>
      <c r="M18" s="1724"/>
      <c r="N18" s="1724"/>
      <c r="O18" s="1111" t="s">
        <v>631</v>
      </c>
      <c r="P18" s="1111"/>
    </row>
    <row r="19" spans="1:16" x14ac:dyDescent="0.25">
      <c r="A19" s="1722" t="s">
        <v>648</v>
      </c>
      <c r="B19" s="1722"/>
      <c r="C19" s="1722"/>
      <c r="D19" s="1722"/>
      <c r="E19" s="1723" t="s">
        <v>649</v>
      </c>
      <c r="F19" s="1723"/>
      <c r="G19" s="1723"/>
      <c r="H19" s="1723"/>
      <c r="I19" s="1724">
        <v>4520</v>
      </c>
      <c r="J19" s="1724"/>
      <c r="K19" s="1724">
        <v>3916</v>
      </c>
      <c r="L19" s="1724"/>
      <c r="M19" s="1724">
        <v>5012</v>
      </c>
      <c r="N19" s="1724"/>
      <c r="O19" s="1111" t="s">
        <v>636</v>
      </c>
      <c r="P19" s="1111"/>
    </row>
    <row r="20" spans="1:16" x14ac:dyDescent="0.25">
      <c r="A20" s="1722" t="s">
        <v>650</v>
      </c>
      <c r="B20" s="1722"/>
      <c r="C20" s="1722"/>
      <c r="D20" s="1722"/>
      <c r="E20" s="1723" t="s">
        <v>641</v>
      </c>
      <c r="F20" s="1723"/>
      <c r="G20" s="1723"/>
      <c r="H20" s="1723"/>
      <c r="I20" s="1724">
        <v>3295</v>
      </c>
      <c r="J20" s="1724"/>
      <c r="K20" s="1724">
        <v>2813</v>
      </c>
      <c r="L20" s="1724"/>
      <c r="M20" s="1724">
        <v>5997</v>
      </c>
      <c r="N20" s="1724"/>
      <c r="O20" s="1111" t="s">
        <v>636</v>
      </c>
      <c r="P20" s="1111"/>
    </row>
    <row r="21" spans="1:16" x14ac:dyDescent="0.25">
      <c r="A21" s="1722" t="s">
        <v>651</v>
      </c>
      <c r="B21" s="1722"/>
      <c r="C21" s="1722"/>
      <c r="D21" s="1722"/>
      <c r="E21" s="1723" t="s">
        <v>652</v>
      </c>
      <c r="F21" s="1723"/>
      <c r="G21" s="1723"/>
      <c r="H21" s="1723"/>
      <c r="I21" s="1724">
        <v>5438</v>
      </c>
      <c r="J21" s="1724"/>
      <c r="K21" s="1724">
        <v>4234</v>
      </c>
      <c r="L21" s="1724"/>
      <c r="M21" s="1724">
        <v>3631</v>
      </c>
      <c r="N21" s="1724"/>
      <c r="O21" s="1111" t="s">
        <v>639</v>
      </c>
      <c r="P21" s="1111"/>
    </row>
    <row r="22" spans="1:16" x14ac:dyDescent="0.25">
      <c r="A22" s="1722" t="s">
        <v>653</v>
      </c>
      <c r="B22" s="1722"/>
      <c r="C22" s="1722"/>
      <c r="D22" s="1722"/>
      <c r="E22" s="1723" t="s">
        <v>638</v>
      </c>
      <c r="F22" s="1723"/>
      <c r="G22" s="1723"/>
      <c r="H22" s="1723"/>
      <c r="I22" s="1724">
        <v>6581</v>
      </c>
      <c r="J22" s="1724"/>
      <c r="K22" s="1724">
        <v>5703</v>
      </c>
      <c r="L22" s="1724"/>
      <c r="M22" s="1724"/>
      <c r="N22" s="1724"/>
      <c r="O22" s="1111" t="s">
        <v>631</v>
      </c>
      <c r="P22" s="1111"/>
    </row>
    <row r="23" spans="1:16" x14ac:dyDescent="0.25">
      <c r="A23" s="1722" t="s">
        <v>654</v>
      </c>
      <c r="B23" s="1722"/>
      <c r="C23" s="1722"/>
      <c r="D23" s="1722"/>
      <c r="E23" s="1723" t="s">
        <v>643</v>
      </c>
      <c r="F23" s="1723"/>
      <c r="G23" s="1723"/>
      <c r="H23" s="1723"/>
      <c r="I23" s="1724">
        <v>6200</v>
      </c>
      <c r="J23" s="1724"/>
      <c r="K23" s="1724">
        <v>6137</v>
      </c>
      <c r="L23" s="1724"/>
      <c r="M23" s="1724"/>
      <c r="N23" s="1724"/>
      <c r="O23" s="1111" t="s">
        <v>631</v>
      </c>
      <c r="P23" s="1111"/>
    </row>
    <row r="24" spans="1:16" x14ac:dyDescent="0.25">
      <c r="A24" s="1722" t="s">
        <v>655</v>
      </c>
      <c r="B24" s="1722"/>
      <c r="C24" s="1722"/>
      <c r="D24" s="1722"/>
      <c r="E24" s="1723" t="s">
        <v>630</v>
      </c>
      <c r="F24" s="1723"/>
      <c r="G24" s="1723"/>
      <c r="H24" s="1723"/>
      <c r="I24" s="1724">
        <v>7871</v>
      </c>
      <c r="J24" s="1724"/>
      <c r="K24" s="1724">
        <v>8254</v>
      </c>
      <c r="L24" s="1724"/>
      <c r="M24" s="1724"/>
      <c r="N24" s="1724"/>
      <c r="O24" s="1111" t="s">
        <v>656</v>
      </c>
      <c r="P24" s="1111"/>
    </row>
    <row r="25" spans="1:16" x14ac:dyDescent="0.25">
      <c r="A25" s="1722" t="s">
        <v>657</v>
      </c>
      <c r="B25" s="1722"/>
      <c r="C25" s="1722"/>
      <c r="D25" s="1722"/>
      <c r="E25" s="1723" t="s">
        <v>658</v>
      </c>
      <c r="F25" s="1723"/>
      <c r="G25" s="1723"/>
      <c r="H25" s="1723"/>
      <c r="I25" s="1724">
        <v>5056</v>
      </c>
      <c r="J25" s="1724"/>
      <c r="K25" s="1724">
        <v>5150</v>
      </c>
      <c r="L25" s="1724"/>
      <c r="M25" s="1724">
        <v>3170</v>
      </c>
      <c r="N25" s="1724"/>
      <c r="O25" s="1111" t="s">
        <v>639</v>
      </c>
      <c r="P25" s="1111"/>
    </row>
    <row r="26" spans="1:16" x14ac:dyDescent="0.25">
      <c r="A26" s="1722" t="s">
        <v>659</v>
      </c>
      <c r="B26" s="1722"/>
      <c r="C26" s="1722"/>
      <c r="D26" s="1722"/>
      <c r="E26" s="1723" t="s">
        <v>635</v>
      </c>
      <c r="F26" s="1723"/>
      <c r="G26" s="1723"/>
      <c r="H26" s="1723"/>
      <c r="I26" s="1724">
        <v>8801</v>
      </c>
      <c r="J26" s="1724"/>
      <c r="K26" s="1724">
        <v>7205</v>
      </c>
      <c r="L26" s="1724"/>
      <c r="M26" s="1724"/>
      <c r="N26" s="1724"/>
      <c r="O26" s="1111" t="s">
        <v>656</v>
      </c>
      <c r="P26" s="1111"/>
    </row>
    <row r="27" spans="1:16" x14ac:dyDescent="0.25">
      <c r="A27" s="1722" t="s">
        <v>660</v>
      </c>
      <c r="B27" s="1722"/>
      <c r="C27" s="1722"/>
      <c r="D27" s="1722"/>
      <c r="E27" s="1723" t="s">
        <v>661</v>
      </c>
      <c r="F27" s="1723"/>
      <c r="G27" s="1723"/>
      <c r="H27" s="1723"/>
      <c r="I27" s="1724">
        <v>4268</v>
      </c>
      <c r="J27" s="1724"/>
      <c r="K27" s="1724">
        <v>4033</v>
      </c>
      <c r="L27" s="1724"/>
      <c r="M27" s="1724">
        <v>4252</v>
      </c>
      <c r="N27" s="1724"/>
      <c r="O27" s="1111" t="s">
        <v>639</v>
      </c>
      <c r="P27" s="1111"/>
    </row>
    <row r="28" spans="1:16" x14ac:dyDescent="0.25">
      <c r="A28" s="1722" t="s">
        <v>662</v>
      </c>
      <c r="B28" s="1722"/>
      <c r="C28" s="1722"/>
      <c r="D28" s="1722"/>
      <c r="E28" s="1723" t="s">
        <v>645</v>
      </c>
      <c r="F28" s="1723"/>
      <c r="G28" s="1723"/>
      <c r="H28" s="1723"/>
      <c r="I28" s="1724">
        <v>6690</v>
      </c>
      <c r="J28" s="1724"/>
      <c r="K28" s="1724">
        <v>5389</v>
      </c>
      <c r="L28" s="1724"/>
      <c r="M28" s="1724">
        <v>3631</v>
      </c>
      <c r="N28" s="1724"/>
      <c r="O28" s="1111" t="s">
        <v>639</v>
      </c>
      <c r="P28" s="1111"/>
    </row>
    <row r="29" spans="1:16" x14ac:dyDescent="0.25">
      <c r="A29" s="1722" t="s">
        <v>663</v>
      </c>
      <c r="B29" s="1722"/>
      <c r="C29" s="1722"/>
      <c r="D29" s="1722"/>
      <c r="E29" s="1723" t="s">
        <v>646</v>
      </c>
      <c r="F29" s="1723"/>
      <c r="G29" s="1723"/>
      <c r="H29" s="1723"/>
      <c r="I29" s="1724">
        <v>7035</v>
      </c>
      <c r="J29" s="1724"/>
      <c r="K29" s="1724">
        <v>7122</v>
      </c>
      <c r="L29" s="1724"/>
      <c r="M29" s="1724"/>
      <c r="N29" s="1724"/>
      <c r="O29" s="1111" t="s">
        <v>631</v>
      </c>
      <c r="P29" s="1111"/>
    </row>
    <row r="30" spans="1:16" x14ac:dyDescent="0.25">
      <c r="A30" s="1722" t="s">
        <v>664</v>
      </c>
      <c r="B30" s="1722"/>
      <c r="C30" s="1722"/>
      <c r="D30" s="1722"/>
      <c r="E30" s="1723" t="s">
        <v>665</v>
      </c>
      <c r="F30" s="1723"/>
      <c r="G30" s="1723"/>
      <c r="H30" s="1723"/>
      <c r="I30" s="1724">
        <v>4305</v>
      </c>
      <c r="J30" s="1724"/>
      <c r="K30" s="1724">
        <v>3347</v>
      </c>
      <c r="L30" s="1724"/>
      <c r="M30" s="1724">
        <v>5292</v>
      </c>
      <c r="N30" s="1724"/>
      <c r="O30" s="1111" t="s">
        <v>636</v>
      </c>
      <c r="P30" s="1111"/>
    </row>
    <row r="31" spans="1:16" x14ac:dyDescent="0.25">
      <c r="A31" s="1722" t="s">
        <v>666</v>
      </c>
      <c r="B31" s="1722"/>
      <c r="C31" s="1722"/>
      <c r="D31" s="1722"/>
      <c r="E31" s="1723" t="s">
        <v>630</v>
      </c>
      <c r="F31" s="1723"/>
      <c r="G31" s="1723"/>
      <c r="H31" s="1723"/>
      <c r="I31" s="1724">
        <v>6793</v>
      </c>
      <c r="J31" s="1724"/>
      <c r="K31" s="1724">
        <v>7979</v>
      </c>
      <c r="L31" s="1724"/>
      <c r="M31" s="1724"/>
      <c r="N31" s="1724"/>
      <c r="O31" s="1111" t="s">
        <v>656</v>
      </c>
      <c r="P31" s="1111"/>
    </row>
    <row r="32" spans="1:16" x14ac:dyDescent="0.25">
      <c r="A32" s="1722" t="s">
        <v>667</v>
      </c>
      <c r="B32" s="1722"/>
      <c r="C32" s="1722"/>
      <c r="D32" s="1722"/>
      <c r="E32" s="1723" t="s">
        <v>633</v>
      </c>
      <c r="F32" s="1723"/>
      <c r="G32" s="1723"/>
      <c r="H32" s="1723"/>
      <c r="I32" s="1724">
        <v>8262</v>
      </c>
      <c r="J32" s="1724"/>
      <c r="K32" s="1724">
        <v>9254</v>
      </c>
      <c r="L32" s="1724"/>
      <c r="M32" s="1724"/>
      <c r="N32" s="1724"/>
      <c r="O32" s="1111" t="s">
        <v>634</v>
      </c>
      <c r="P32" s="1111"/>
    </row>
    <row r="33" spans="1:16" x14ac:dyDescent="0.25">
      <c r="A33" s="1722" t="s">
        <v>668</v>
      </c>
      <c r="B33" s="1722"/>
      <c r="C33" s="1722"/>
      <c r="D33" s="1722"/>
      <c r="E33" s="1723" t="s">
        <v>669</v>
      </c>
      <c r="F33" s="1723"/>
      <c r="G33" s="1723"/>
      <c r="H33" s="1723"/>
      <c r="I33" s="1724">
        <v>6649</v>
      </c>
      <c r="J33" s="1724"/>
      <c r="K33" s="1724">
        <v>6146</v>
      </c>
      <c r="L33" s="1724"/>
      <c r="M33" s="1724"/>
      <c r="N33" s="1724"/>
      <c r="O33" s="1111" t="s">
        <v>631</v>
      </c>
      <c r="P33" s="1111"/>
    </row>
    <row r="34" spans="1:16" x14ac:dyDescent="0.25">
      <c r="A34" s="1722" t="s">
        <v>670</v>
      </c>
      <c r="B34" s="1722"/>
      <c r="C34" s="1722"/>
      <c r="D34" s="1722"/>
      <c r="E34" s="1723" t="s">
        <v>630</v>
      </c>
      <c r="F34" s="1723"/>
      <c r="G34" s="1723"/>
      <c r="H34" s="1723"/>
      <c r="I34" s="1724">
        <v>5643</v>
      </c>
      <c r="J34" s="1724"/>
      <c r="K34" s="1724">
        <v>5641</v>
      </c>
      <c r="L34" s="1724"/>
      <c r="M34" s="1724"/>
      <c r="N34" s="1724"/>
      <c r="O34" s="1111" t="s">
        <v>631</v>
      </c>
      <c r="P34" s="1111"/>
    </row>
    <row r="35" spans="1:16" x14ac:dyDescent="0.25">
      <c r="A35" s="1722" t="s">
        <v>671</v>
      </c>
      <c r="B35" s="1722"/>
      <c r="C35" s="1722"/>
      <c r="D35" s="1722"/>
      <c r="E35" s="1723" t="s">
        <v>643</v>
      </c>
      <c r="F35" s="1723"/>
      <c r="G35" s="1723"/>
      <c r="H35" s="1723"/>
      <c r="I35" s="1724">
        <v>5395</v>
      </c>
      <c r="J35" s="1724"/>
      <c r="K35" s="1724">
        <v>5747</v>
      </c>
      <c r="L35" s="1724"/>
      <c r="M35" s="1724"/>
      <c r="N35" s="1724"/>
      <c r="O35" s="1111" t="s">
        <v>631</v>
      </c>
      <c r="P35" s="1111"/>
    </row>
    <row r="36" spans="1:16" x14ac:dyDescent="0.25">
      <c r="A36" s="1722" t="s">
        <v>672</v>
      </c>
      <c r="B36" s="1722"/>
      <c r="C36" s="1722"/>
      <c r="D36" s="1722"/>
      <c r="E36" s="1723" t="s">
        <v>673</v>
      </c>
      <c r="F36" s="1723"/>
      <c r="G36" s="1723"/>
      <c r="H36" s="1723"/>
      <c r="I36" s="1724">
        <v>7055</v>
      </c>
      <c r="J36" s="1724"/>
      <c r="K36" s="1724">
        <v>6396</v>
      </c>
      <c r="L36" s="1724"/>
      <c r="M36" s="1724"/>
      <c r="N36" s="1724"/>
      <c r="O36" s="1111" t="s">
        <v>631</v>
      </c>
      <c r="P36" s="1111"/>
    </row>
    <row r="37" spans="1:16" x14ac:dyDescent="0.25">
      <c r="A37" s="1722" t="s">
        <v>674</v>
      </c>
      <c r="B37" s="1722"/>
      <c r="C37" s="1722"/>
      <c r="D37" s="1722"/>
      <c r="E37" s="1723" t="s">
        <v>675</v>
      </c>
      <c r="F37" s="1723"/>
      <c r="G37" s="1723"/>
      <c r="H37" s="1723"/>
      <c r="I37" s="1724">
        <v>4032</v>
      </c>
      <c r="J37" s="1724"/>
      <c r="K37" s="1724">
        <v>3799</v>
      </c>
      <c r="L37" s="1724"/>
      <c r="M37" s="1724">
        <v>4616</v>
      </c>
      <c r="N37" s="1724"/>
      <c r="O37" s="1111" t="s">
        <v>636</v>
      </c>
      <c r="P37" s="1111"/>
    </row>
    <row r="38" spans="1:16" x14ac:dyDescent="0.25">
      <c r="A38" s="1722" t="s">
        <v>676</v>
      </c>
      <c r="B38" s="1722"/>
      <c r="C38" s="1722"/>
      <c r="D38" s="1722"/>
      <c r="E38" s="1723" t="s">
        <v>677</v>
      </c>
      <c r="F38" s="1723"/>
      <c r="G38" s="1723"/>
      <c r="H38" s="1723"/>
      <c r="I38" s="1724">
        <v>6465</v>
      </c>
      <c r="J38" s="1724"/>
      <c r="K38" s="1724">
        <v>6207</v>
      </c>
      <c r="L38" s="1724"/>
      <c r="M38" s="1724"/>
      <c r="N38" s="1724"/>
      <c r="O38" s="1111" t="s">
        <v>631</v>
      </c>
      <c r="P38" s="1111"/>
    </row>
    <row r="39" spans="1:16" x14ac:dyDescent="0.25">
      <c r="A39" s="1722" t="s">
        <v>678</v>
      </c>
      <c r="B39" s="1722"/>
      <c r="C39" s="1722"/>
      <c r="D39" s="1722"/>
      <c r="E39" s="1723" t="s">
        <v>679</v>
      </c>
      <c r="F39" s="1723"/>
      <c r="G39" s="1723"/>
      <c r="H39" s="1723"/>
      <c r="I39" s="1724">
        <v>4725</v>
      </c>
      <c r="J39" s="1724"/>
      <c r="K39" s="1724">
        <v>3632</v>
      </c>
      <c r="L39" s="1724"/>
      <c r="M39" s="1724">
        <v>4427</v>
      </c>
      <c r="N39" s="1724"/>
      <c r="O39" s="1111" t="s">
        <v>639</v>
      </c>
      <c r="P39" s="1111"/>
    </row>
    <row r="40" spans="1:16" x14ac:dyDescent="0.25">
      <c r="A40" s="1722" t="s">
        <v>680</v>
      </c>
      <c r="B40" s="1722"/>
      <c r="C40" s="1722"/>
      <c r="D40" s="1722"/>
      <c r="E40" s="1723" t="s">
        <v>673</v>
      </c>
      <c r="F40" s="1723"/>
      <c r="G40" s="1723"/>
      <c r="H40" s="1723"/>
      <c r="I40" s="1724">
        <v>6460</v>
      </c>
      <c r="J40" s="1724"/>
      <c r="K40" s="1724">
        <v>6143</v>
      </c>
      <c r="L40" s="1724"/>
      <c r="M40" s="1724"/>
      <c r="N40" s="1724"/>
      <c r="O40" s="1111" t="s">
        <v>631</v>
      </c>
      <c r="P40" s="1111"/>
    </row>
    <row r="41" spans="1:16" x14ac:dyDescent="0.25">
      <c r="A41" s="1722" t="s">
        <v>681</v>
      </c>
      <c r="B41" s="1722"/>
      <c r="C41" s="1722"/>
      <c r="D41" s="1722"/>
      <c r="E41" s="1723" t="s">
        <v>682</v>
      </c>
      <c r="F41" s="1723"/>
      <c r="G41" s="1723"/>
      <c r="H41" s="1723"/>
      <c r="I41" s="1724">
        <v>4052</v>
      </c>
      <c r="J41" s="1724"/>
      <c r="K41" s="1724">
        <v>3270</v>
      </c>
      <c r="L41" s="1724"/>
      <c r="M41" s="1724">
        <v>5904</v>
      </c>
      <c r="N41" s="1724"/>
      <c r="O41" s="1111" t="s">
        <v>636</v>
      </c>
      <c r="P41" s="1111"/>
    </row>
    <row r="42" spans="1:16" x14ac:dyDescent="0.25">
      <c r="A42" s="1722" t="s">
        <v>683</v>
      </c>
      <c r="B42" s="1722"/>
      <c r="C42" s="1722"/>
      <c r="D42" s="1722"/>
      <c r="E42" s="1723" t="s">
        <v>684</v>
      </c>
      <c r="F42" s="1723"/>
      <c r="G42" s="1723"/>
      <c r="H42" s="1723"/>
      <c r="I42" s="1724">
        <v>3622</v>
      </c>
      <c r="J42" s="1724"/>
      <c r="K42" s="1724">
        <v>2954</v>
      </c>
      <c r="L42" s="1724"/>
      <c r="M42" s="1724">
        <v>5181</v>
      </c>
      <c r="N42" s="1724"/>
      <c r="O42" s="1111" t="s">
        <v>636</v>
      </c>
      <c r="P42" s="1111"/>
    </row>
    <row r="43" spans="1:16" x14ac:dyDescent="0.25">
      <c r="A43" s="1722" t="s">
        <v>685</v>
      </c>
      <c r="B43" s="1722"/>
      <c r="C43" s="1722"/>
      <c r="D43" s="1722"/>
      <c r="E43" s="1723" t="s">
        <v>646</v>
      </c>
      <c r="F43" s="1723"/>
      <c r="G43" s="1723"/>
      <c r="H43" s="1723"/>
      <c r="I43" s="1724">
        <v>6198</v>
      </c>
      <c r="J43" s="1724"/>
      <c r="K43" s="1724">
        <v>5260</v>
      </c>
      <c r="L43" s="1724"/>
      <c r="M43" s="1724">
        <v>2059</v>
      </c>
      <c r="N43" s="1724"/>
      <c r="O43" s="1111" t="s">
        <v>639</v>
      </c>
      <c r="P43" s="1111"/>
    </row>
    <row r="44" spans="1:16" x14ac:dyDescent="0.25">
      <c r="A44" s="1722" t="s">
        <v>686</v>
      </c>
      <c r="B44" s="1722"/>
      <c r="C44" s="1722"/>
      <c r="D44" s="1722"/>
      <c r="E44" s="1723" t="s">
        <v>682</v>
      </c>
      <c r="F44" s="1723"/>
      <c r="G44" s="1723"/>
      <c r="H44" s="1723"/>
      <c r="I44" s="1724">
        <v>4000</v>
      </c>
      <c r="J44" s="1724"/>
      <c r="K44" s="1724">
        <v>3223</v>
      </c>
      <c r="L44" s="1724"/>
      <c r="M44" s="1724">
        <v>5904</v>
      </c>
      <c r="N44" s="1724"/>
      <c r="O44" s="1111" t="s">
        <v>636</v>
      </c>
      <c r="P44" s="1111"/>
    </row>
    <row r="45" spans="1:16" x14ac:dyDescent="0.25">
      <c r="A45" s="1722" t="s">
        <v>687</v>
      </c>
      <c r="B45" s="1722"/>
      <c r="C45" s="1722"/>
      <c r="D45" s="1722"/>
      <c r="E45" s="1723" t="s">
        <v>688</v>
      </c>
      <c r="F45" s="1723"/>
      <c r="G45" s="1723"/>
      <c r="H45" s="1723"/>
      <c r="I45" s="1724">
        <v>6424</v>
      </c>
      <c r="J45" s="1724"/>
      <c r="K45" s="1724">
        <v>5738</v>
      </c>
      <c r="L45" s="1724"/>
      <c r="M45" s="1724"/>
      <c r="N45" s="1724"/>
      <c r="O45" s="1111" t="s">
        <v>631</v>
      </c>
      <c r="P45" s="1111"/>
    </row>
    <row r="46" spans="1:16" x14ac:dyDescent="0.25">
      <c r="A46" s="1722" t="s">
        <v>689</v>
      </c>
      <c r="B46" s="1722"/>
      <c r="C46" s="1722"/>
      <c r="D46" s="1722"/>
      <c r="E46" s="1723" t="s">
        <v>690</v>
      </c>
      <c r="F46" s="1723"/>
      <c r="G46" s="1723"/>
      <c r="H46" s="1723"/>
      <c r="I46" s="1724">
        <v>4250</v>
      </c>
      <c r="J46" s="1724"/>
      <c r="K46" s="1724">
        <v>3213</v>
      </c>
      <c r="L46" s="1724"/>
      <c r="M46" s="1724">
        <v>5210</v>
      </c>
      <c r="N46" s="1724"/>
      <c r="O46" s="1111" t="s">
        <v>636</v>
      </c>
      <c r="P46" s="1111"/>
    </row>
    <row r="47" spans="1:16" x14ac:dyDescent="0.25">
      <c r="A47" s="1722" t="s">
        <v>691</v>
      </c>
      <c r="B47" s="1722"/>
      <c r="C47" s="1722"/>
      <c r="D47" s="1722"/>
      <c r="E47" s="1723" t="s">
        <v>691</v>
      </c>
      <c r="F47" s="1723"/>
      <c r="G47" s="1723"/>
      <c r="H47" s="1723"/>
      <c r="I47" s="1724">
        <v>7320</v>
      </c>
      <c r="J47" s="1724"/>
      <c r="K47" s="1724">
        <v>6381</v>
      </c>
      <c r="L47" s="1724"/>
      <c r="M47" s="1724"/>
      <c r="N47" s="1724"/>
      <c r="O47" s="1111" t="s">
        <v>631</v>
      </c>
      <c r="P47" s="1111"/>
    </row>
    <row r="48" spans="1:16" x14ac:dyDescent="0.25">
      <c r="A48" s="1722" t="s">
        <v>692</v>
      </c>
      <c r="B48" s="1722"/>
      <c r="C48" s="1722"/>
      <c r="D48" s="1722"/>
      <c r="E48" s="1723" t="s">
        <v>645</v>
      </c>
      <c r="F48" s="1723"/>
      <c r="G48" s="1723"/>
      <c r="H48" s="1723"/>
      <c r="I48" s="1724">
        <v>4856</v>
      </c>
      <c r="J48" s="1724"/>
      <c r="K48" s="1724">
        <v>4725</v>
      </c>
      <c r="L48" s="1724"/>
      <c r="M48" s="1724">
        <v>4462</v>
      </c>
      <c r="N48" s="1724"/>
      <c r="O48" s="1111" t="s">
        <v>639</v>
      </c>
      <c r="P48" s="1111"/>
    </row>
    <row r="49" spans="1:16" x14ac:dyDescent="0.25">
      <c r="A49" s="1722" t="s">
        <v>693</v>
      </c>
      <c r="B49" s="1722"/>
      <c r="C49" s="1722"/>
      <c r="D49" s="1722"/>
      <c r="E49" s="1723" t="s">
        <v>649</v>
      </c>
      <c r="F49" s="1723"/>
      <c r="G49" s="1723"/>
      <c r="H49" s="1723"/>
      <c r="I49" s="1724">
        <v>6572</v>
      </c>
      <c r="J49" s="1724"/>
      <c r="K49" s="1724">
        <v>5074</v>
      </c>
      <c r="L49" s="1724"/>
      <c r="M49" s="1724">
        <v>2093</v>
      </c>
      <c r="N49" s="1724"/>
      <c r="O49" s="1111" t="s">
        <v>639</v>
      </c>
      <c r="P49" s="1111"/>
    </row>
    <row r="50" spans="1:16" x14ac:dyDescent="0.25">
      <c r="A50" s="1722" t="s">
        <v>694</v>
      </c>
      <c r="B50" s="1722"/>
      <c r="C50" s="1722"/>
      <c r="D50" s="1722"/>
      <c r="E50" s="1723" t="s">
        <v>635</v>
      </c>
      <c r="F50" s="1723"/>
      <c r="G50" s="1723"/>
      <c r="H50" s="1723"/>
      <c r="I50" s="1724">
        <v>6611</v>
      </c>
      <c r="J50" s="1724"/>
      <c r="K50" s="1724">
        <v>5540</v>
      </c>
      <c r="L50" s="1724"/>
      <c r="M50" s="1724"/>
      <c r="N50" s="1724"/>
      <c r="O50" s="1111" t="s">
        <v>631</v>
      </c>
      <c r="P50" s="1111"/>
    </row>
    <row r="51" spans="1:16" x14ac:dyDescent="0.25">
      <c r="A51" s="1722" t="s">
        <v>695</v>
      </c>
      <c r="B51" s="1722"/>
      <c r="C51" s="1722"/>
      <c r="D51" s="1722"/>
      <c r="E51" s="1723" t="s">
        <v>696</v>
      </c>
      <c r="F51" s="1723"/>
      <c r="G51" s="1723"/>
      <c r="H51" s="1723"/>
      <c r="I51" s="1724">
        <v>6220</v>
      </c>
      <c r="J51" s="1724"/>
      <c r="K51" s="1724">
        <v>4735</v>
      </c>
      <c r="L51" s="1724"/>
      <c r="M51" s="1724">
        <v>3786</v>
      </c>
      <c r="N51" s="1724"/>
      <c r="O51" s="1111" t="s">
        <v>639</v>
      </c>
      <c r="P51" s="1111"/>
    </row>
    <row r="52" spans="1:16" x14ac:dyDescent="0.25">
      <c r="A52" s="1722" t="s">
        <v>697</v>
      </c>
      <c r="B52" s="1722"/>
      <c r="C52" s="1722"/>
      <c r="D52" s="1722"/>
      <c r="E52" s="1723" t="s">
        <v>698</v>
      </c>
      <c r="F52" s="1723"/>
      <c r="G52" s="1723"/>
      <c r="H52" s="1723"/>
      <c r="I52" s="1724">
        <v>5485</v>
      </c>
      <c r="J52" s="1724"/>
      <c r="K52" s="1724">
        <v>5209</v>
      </c>
      <c r="L52" s="1724"/>
      <c r="M52" s="1724">
        <v>3631</v>
      </c>
      <c r="N52" s="1724"/>
      <c r="O52" s="1111" t="s">
        <v>639</v>
      </c>
      <c r="P52" s="1111"/>
    </row>
    <row r="53" spans="1:16" x14ac:dyDescent="0.25">
      <c r="A53" s="1722" t="s">
        <v>699</v>
      </c>
      <c r="B53" s="1722"/>
      <c r="C53" s="1722"/>
      <c r="D53" s="1722"/>
      <c r="E53" s="1723" t="s">
        <v>696</v>
      </c>
      <c r="F53" s="1723"/>
      <c r="G53" s="1723"/>
      <c r="H53" s="1723"/>
      <c r="I53" s="1724">
        <v>6520</v>
      </c>
      <c r="J53" s="1724"/>
      <c r="K53" s="1724">
        <v>5558</v>
      </c>
      <c r="L53" s="1724"/>
      <c r="M53" s="1724"/>
      <c r="N53" s="1724"/>
      <c r="O53" s="1111" t="s">
        <v>631</v>
      </c>
      <c r="P53" s="1111"/>
    </row>
    <row r="54" spans="1:16" x14ac:dyDescent="0.25">
      <c r="A54" s="1722" t="s">
        <v>700</v>
      </c>
      <c r="B54" s="1722"/>
      <c r="C54" s="1722"/>
      <c r="D54" s="1722"/>
      <c r="E54" s="1723" t="s">
        <v>682</v>
      </c>
      <c r="F54" s="1723"/>
      <c r="G54" s="1723"/>
      <c r="H54" s="1723"/>
      <c r="I54" s="1724">
        <v>5245</v>
      </c>
      <c r="J54" s="1724"/>
      <c r="K54" s="1724">
        <v>3215</v>
      </c>
      <c r="L54" s="1724"/>
      <c r="M54" s="1724">
        <v>4919</v>
      </c>
      <c r="N54" s="1724"/>
      <c r="O54" s="1111" t="s">
        <v>636</v>
      </c>
      <c r="P54" s="1111"/>
    </row>
    <row r="55" spans="1:16" x14ac:dyDescent="0.25">
      <c r="A55" s="1722" t="s">
        <v>701</v>
      </c>
      <c r="B55" s="1722"/>
      <c r="C55" s="1722"/>
      <c r="D55" s="1722"/>
      <c r="E55" s="1723" t="s">
        <v>646</v>
      </c>
      <c r="F55" s="1723"/>
      <c r="G55" s="1723"/>
      <c r="H55" s="1723"/>
      <c r="I55" s="1724">
        <v>5955</v>
      </c>
      <c r="J55" s="1724"/>
      <c r="K55" s="1724">
        <v>4917</v>
      </c>
      <c r="L55" s="1724"/>
      <c r="M55" s="1724">
        <v>3701</v>
      </c>
      <c r="N55" s="1724"/>
      <c r="O55" s="1111" t="s">
        <v>639</v>
      </c>
      <c r="P55" s="1111"/>
    </row>
    <row r="56" spans="1:16" x14ac:dyDescent="0.25">
      <c r="A56" s="1722" t="s">
        <v>702</v>
      </c>
      <c r="B56" s="1722"/>
      <c r="C56" s="1722"/>
      <c r="D56" s="1722"/>
      <c r="E56" s="1723" t="s">
        <v>703</v>
      </c>
      <c r="F56" s="1723"/>
      <c r="G56" s="1723"/>
      <c r="H56" s="1723"/>
      <c r="I56" s="1724">
        <v>4006</v>
      </c>
      <c r="J56" s="1724"/>
      <c r="K56" s="1724">
        <v>3845</v>
      </c>
      <c r="L56" s="1724"/>
      <c r="M56" s="1724">
        <v>4347</v>
      </c>
      <c r="N56" s="1724"/>
      <c r="O56" s="1111" t="s">
        <v>639</v>
      </c>
      <c r="P56" s="1111"/>
    </row>
    <row r="57" spans="1:16" x14ac:dyDescent="0.25">
      <c r="A57" s="1722" t="s">
        <v>704</v>
      </c>
      <c r="B57" s="1722"/>
      <c r="C57" s="1722"/>
      <c r="D57" s="1722"/>
      <c r="E57" s="1723" t="s">
        <v>633</v>
      </c>
      <c r="F57" s="1723"/>
      <c r="G57" s="1723"/>
      <c r="H57" s="1723"/>
      <c r="I57" s="1724">
        <v>6680</v>
      </c>
      <c r="J57" s="1724"/>
      <c r="K57" s="1724">
        <v>6001</v>
      </c>
      <c r="L57" s="1724"/>
      <c r="M57" s="1724"/>
      <c r="N57" s="1724"/>
      <c r="O57" s="1111" t="s">
        <v>631</v>
      </c>
      <c r="P57" s="1111"/>
    </row>
    <row r="58" spans="1:16" x14ac:dyDescent="0.25">
      <c r="A58" s="1722" t="s">
        <v>705</v>
      </c>
      <c r="B58" s="1722"/>
      <c r="C58" s="1722"/>
      <c r="D58" s="1722"/>
      <c r="E58" s="1723" t="s">
        <v>706</v>
      </c>
      <c r="F58" s="1723"/>
      <c r="G58" s="1723"/>
      <c r="H58" s="1723"/>
      <c r="I58" s="1724">
        <v>8671</v>
      </c>
      <c r="J58" s="1724"/>
      <c r="K58" s="1724">
        <v>8742</v>
      </c>
      <c r="L58" s="1724"/>
      <c r="M58" s="1724">
        <v>179</v>
      </c>
      <c r="N58" s="1724"/>
      <c r="O58" s="1111" t="s">
        <v>634</v>
      </c>
      <c r="P58" s="1111"/>
    </row>
    <row r="59" spans="1:16" x14ac:dyDescent="0.25">
      <c r="A59" s="1722" t="s">
        <v>707</v>
      </c>
      <c r="B59" s="1722"/>
      <c r="C59" s="1722"/>
      <c r="D59" s="1722"/>
      <c r="E59" s="1723" t="s">
        <v>679</v>
      </c>
      <c r="F59" s="1723"/>
      <c r="G59" s="1723"/>
      <c r="H59" s="1723"/>
      <c r="I59" s="1724">
        <v>5847</v>
      </c>
      <c r="J59" s="1724"/>
      <c r="K59" s="1724">
        <v>5483</v>
      </c>
      <c r="L59" s="1724"/>
      <c r="M59" s="1724"/>
      <c r="N59" s="1724"/>
      <c r="O59" s="1111" t="s">
        <v>631</v>
      </c>
      <c r="P59" s="1111"/>
    </row>
    <row r="60" spans="1:16" x14ac:dyDescent="0.25">
      <c r="A60" s="1722" t="s">
        <v>708</v>
      </c>
      <c r="B60" s="1722"/>
      <c r="C60" s="1722"/>
      <c r="D60" s="1722"/>
      <c r="E60" s="1723" t="s">
        <v>646</v>
      </c>
      <c r="F60" s="1723"/>
      <c r="G60" s="1723"/>
      <c r="H60" s="1723"/>
      <c r="I60" s="1724">
        <v>5282</v>
      </c>
      <c r="J60" s="1724"/>
      <c r="K60" s="1724">
        <v>4880</v>
      </c>
      <c r="L60" s="1724"/>
      <c r="M60" s="1724">
        <v>3949</v>
      </c>
      <c r="N60" s="1724"/>
      <c r="O60" s="1111" t="s">
        <v>639</v>
      </c>
      <c r="P60" s="1111"/>
    </row>
    <row r="61" spans="1:16" x14ac:dyDescent="0.25">
      <c r="A61" s="1722" t="s">
        <v>709</v>
      </c>
      <c r="B61" s="1722"/>
      <c r="C61" s="1722"/>
      <c r="D61" s="1722"/>
      <c r="E61" s="1723" t="s">
        <v>710</v>
      </c>
      <c r="F61" s="1723"/>
      <c r="G61" s="1723"/>
      <c r="H61" s="1723"/>
      <c r="I61" s="1724">
        <v>3573</v>
      </c>
      <c r="J61" s="1724"/>
      <c r="K61" s="1724">
        <v>3565</v>
      </c>
      <c r="L61" s="1724"/>
      <c r="M61" s="1724">
        <v>5505</v>
      </c>
      <c r="N61" s="1724"/>
      <c r="O61" s="1111" t="s">
        <v>636</v>
      </c>
      <c r="P61" s="1111"/>
    </row>
    <row r="62" spans="1:16" x14ac:dyDescent="0.25">
      <c r="A62" s="1722" t="s">
        <v>711</v>
      </c>
      <c r="B62" s="1722"/>
      <c r="C62" s="1722"/>
      <c r="D62" s="1722"/>
      <c r="E62" s="1723" t="s">
        <v>652</v>
      </c>
      <c r="F62" s="1723"/>
      <c r="G62" s="1723"/>
      <c r="H62" s="1723"/>
      <c r="I62" s="1724">
        <v>6920</v>
      </c>
      <c r="J62" s="1724"/>
      <c r="K62" s="1724">
        <v>6309</v>
      </c>
      <c r="L62" s="1724"/>
      <c r="M62" s="1724"/>
      <c r="N62" s="1724"/>
      <c r="O62" s="1111" t="s">
        <v>631</v>
      </c>
      <c r="P62" s="1111"/>
    </row>
    <row r="63" spans="1:16" x14ac:dyDescent="0.25">
      <c r="A63" s="1722" t="s">
        <v>712</v>
      </c>
      <c r="B63" s="1722"/>
      <c r="C63" s="1722"/>
      <c r="D63" s="1722"/>
      <c r="E63" s="1723" t="s">
        <v>638</v>
      </c>
      <c r="F63" s="1723"/>
      <c r="G63" s="1723"/>
      <c r="H63" s="1723"/>
      <c r="I63" s="1724">
        <v>10680</v>
      </c>
      <c r="J63" s="1724"/>
      <c r="K63" s="1724">
        <v>10034</v>
      </c>
      <c r="L63" s="1724"/>
      <c r="M63" s="1724"/>
      <c r="N63" s="1724"/>
      <c r="O63" s="1111" t="s">
        <v>634</v>
      </c>
      <c r="P63" s="1111"/>
    </row>
    <row r="64" spans="1:16" x14ac:dyDescent="0.25">
      <c r="A64" s="1722" t="s">
        <v>713</v>
      </c>
      <c r="B64" s="1722"/>
      <c r="C64" s="1722"/>
      <c r="D64" s="1722"/>
      <c r="E64" s="1723" t="s">
        <v>638</v>
      </c>
      <c r="F64" s="1723"/>
      <c r="G64" s="1723"/>
      <c r="H64" s="1723"/>
      <c r="I64" s="1724">
        <v>7077</v>
      </c>
      <c r="J64" s="1724"/>
      <c r="K64" s="1724">
        <v>7510</v>
      </c>
      <c r="L64" s="1724"/>
      <c r="M64" s="1724"/>
      <c r="N64" s="1724"/>
      <c r="O64" s="1111" t="s">
        <v>656</v>
      </c>
      <c r="P64" s="1111"/>
    </row>
    <row r="65" spans="1:16" x14ac:dyDescent="0.25">
      <c r="A65" s="1722" t="s">
        <v>669</v>
      </c>
      <c r="B65" s="1722"/>
      <c r="C65" s="1722"/>
      <c r="D65" s="1722"/>
      <c r="E65" s="1723" t="s">
        <v>669</v>
      </c>
      <c r="F65" s="1723"/>
      <c r="G65" s="1723"/>
      <c r="H65" s="1723"/>
      <c r="I65" s="1724">
        <v>7260</v>
      </c>
      <c r="J65" s="1724"/>
      <c r="K65" s="1724">
        <v>6001</v>
      </c>
      <c r="L65" s="1724"/>
      <c r="M65" s="1724"/>
      <c r="N65" s="1724"/>
      <c r="O65" s="1111" t="s">
        <v>631</v>
      </c>
      <c r="P65" s="1111"/>
    </row>
    <row r="66" spans="1:16" x14ac:dyDescent="0.25">
      <c r="A66" s="1722" t="s">
        <v>714</v>
      </c>
      <c r="B66" s="1722"/>
      <c r="C66" s="1722"/>
      <c r="D66" s="1722"/>
      <c r="E66" s="1723" t="s">
        <v>715</v>
      </c>
      <c r="F66" s="1723"/>
      <c r="G66" s="1723"/>
      <c r="H66" s="1723"/>
      <c r="I66" s="1724">
        <v>4620</v>
      </c>
      <c r="J66" s="1724"/>
      <c r="K66" s="1724">
        <v>3749</v>
      </c>
      <c r="L66" s="1724"/>
      <c r="M66" s="1724">
        <v>4714</v>
      </c>
      <c r="N66" s="1724"/>
      <c r="O66" s="1111" t="s">
        <v>636</v>
      </c>
      <c r="P66" s="1111"/>
    </row>
    <row r="67" spans="1:16" x14ac:dyDescent="0.25">
      <c r="A67" s="1722" t="s">
        <v>716</v>
      </c>
      <c r="B67" s="1722"/>
      <c r="C67" s="1722"/>
      <c r="D67" s="1722"/>
      <c r="E67" s="1723" t="s">
        <v>643</v>
      </c>
      <c r="F67" s="1723"/>
      <c r="G67" s="1723"/>
      <c r="H67" s="1723"/>
      <c r="I67" s="1724">
        <v>4892</v>
      </c>
      <c r="J67" s="1724"/>
      <c r="K67" s="1724">
        <v>5475</v>
      </c>
      <c r="L67" s="1724"/>
      <c r="M67" s="1724"/>
      <c r="N67" s="1724"/>
      <c r="O67" s="1111" t="s">
        <v>631</v>
      </c>
      <c r="P67" s="1111"/>
    </row>
    <row r="68" spans="1:16" x14ac:dyDescent="0.25">
      <c r="A68" s="1722" t="s">
        <v>717</v>
      </c>
      <c r="B68" s="1722"/>
      <c r="C68" s="1722"/>
      <c r="D68" s="1722"/>
      <c r="E68" s="1723" t="s">
        <v>718</v>
      </c>
      <c r="F68" s="1723"/>
      <c r="G68" s="1723"/>
      <c r="H68" s="1723"/>
      <c r="I68" s="1724">
        <v>5895</v>
      </c>
      <c r="J68" s="1724"/>
      <c r="K68" s="1724">
        <v>4438</v>
      </c>
      <c r="L68" s="1724"/>
      <c r="M68" s="1724">
        <v>3975</v>
      </c>
      <c r="N68" s="1724"/>
      <c r="O68" s="1111" t="s">
        <v>639</v>
      </c>
      <c r="P68" s="1111"/>
    </row>
    <row r="69" spans="1:16" x14ac:dyDescent="0.25">
      <c r="A69" s="1722" t="s">
        <v>649</v>
      </c>
      <c r="B69" s="1722"/>
      <c r="C69" s="1722"/>
      <c r="D69" s="1722"/>
      <c r="E69" s="1723" t="s">
        <v>649</v>
      </c>
      <c r="F69" s="1723"/>
      <c r="G69" s="1723"/>
      <c r="H69" s="1723"/>
      <c r="I69" s="1724">
        <v>4603</v>
      </c>
      <c r="J69" s="1724"/>
      <c r="K69" s="1724">
        <v>3984</v>
      </c>
      <c r="L69" s="1724"/>
      <c r="M69" s="1724">
        <v>5147</v>
      </c>
      <c r="N69" s="1724"/>
      <c r="O69" s="1111" t="s">
        <v>636</v>
      </c>
      <c r="P69" s="1111"/>
    </row>
    <row r="70" spans="1:16" x14ac:dyDescent="0.25">
      <c r="A70" s="1722" t="s">
        <v>719</v>
      </c>
      <c r="B70" s="1722"/>
      <c r="C70" s="1722"/>
      <c r="D70" s="1722"/>
      <c r="E70" s="1723" t="s">
        <v>633</v>
      </c>
      <c r="F70" s="1723"/>
      <c r="G70" s="1723"/>
      <c r="H70" s="1723"/>
      <c r="I70" s="1724">
        <v>5797</v>
      </c>
      <c r="J70" s="1724"/>
      <c r="K70" s="1724">
        <v>5653</v>
      </c>
      <c r="L70" s="1724"/>
      <c r="M70" s="1724"/>
      <c r="N70" s="1724"/>
      <c r="O70" s="1111" t="s">
        <v>631</v>
      </c>
      <c r="P70" s="1111"/>
    </row>
    <row r="71" spans="1:16" x14ac:dyDescent="0.25">
      <c r="A71" s="1722" t="s">
        <v>706</v>
      </c>
      <c r="B71" s="1722"/>
      <c r="C71" s="1722"/>
      <c r="D71" s="1722"/>
      <c r="E71" s="1723" t="s">
        <v>706</v>
      </c>
      <c r="F71" s="1723"/>
      <c r="G71" s="1723"/>
      <c r="H71" s="1723"/>
      <c r="I71" s="1724">
        <v>6967</v>
      </c>
      <c r="J71" s="1724"/>
      <c r="K71" s="1724">
        <v>6827</v>
      </c>
      <c r="L71" s="1724"/>
      <c r="M71" s="1724"/>
      <c r="N71" s="1724"/>
      <c r="O71" s="1111" t="s">
        <v>631</v>
      </c>
      <c r="P71" s="1111"/>
    </row>
    <row r="72" spans="1:16" x14ac:dyDescent="0.25">
      <c r="A72" s="1722" t="s">
        <v>720</v>
      </c>
      <c r="B72" s="1722"/>
      <c r="C72" s="1722"/>
      <c r="D72" s="1722"/>
      <c r="E72" s="1723" t="s">
        <v>706</v>
      </c>
      <c r="F72" s="1723"/>
      <c r="G72" s="1723"/>
      <c r="H72" s="1723"/>
      <c r="I72" s="1724">
        <v>9321</v>
      </c>
      <c r="J72" s="1724"/>
      <c r="K72" s="1724">
        <v>9769</v>
      </c>
      <c r="L72" s="1724"/>
      <c r="M72" s="1724"/>
      <c r="N72" s="1724"/>
      <c r="O72" s="1111" t="s">
        <v>634</v>
      </c>
      <c r="P72" s="1111"/>
    </row>
    <row r="73" spans="1:16" x14ac:dyDescent="0.25">
      <c r="A73" s="1722" t="s">
        <v>721</v>
      </c>
      <c r="B73" s="1722"/>
      <c r="C73" s="1722"/>
      <c r="D73" s="1722"/>
      <c r="E73" s="1723" t="s">
        <v>684</v>
      </c>
      <c r="F73" s="1723"/>
      <c r="G73" s="1723"/>
      <c r="H73" s="1723"/>
      <c r="I73" s="1724">
        <v>3999</v>
      </c>
      <c r="J73" s="1724"/>
      <c r="K73" s="1724">
        <v>3680</v>
      </c>
      <c r="L73" s="1724"/>
      <c r="M73" s="1724">
        <v>4721</v>
      </c>
      <c r="N73" s="1724"/>
      <c r="O73" s="1111" t="s">
        <v>636</v>
      </c>
      <c r="P73" s="1111"/>
    </row>
    <row r="74" spans="1:16" x14ac:dyDescent="0.25">
      <c r="A74" s="1722" t="s">
        <v>722</v>
      </c>
      <c r="B74" s="1722"/>
      <c r="C74" s="1722"/>
      <c r="D74" s="1722"/>
      <c r="E74" s="1723" t="s">
        <v>677</v>
      </c>
      <c r="F74" s="1723"/>
      <c r="G74" s="1723"/>
      <c r="H74" s="1723"/>
      <c r="I74" s="1724">
        <v>7200</v>
      </c>
      <c r="J74" s="1724"/>
      <c r="K74" s="1724">
        <v>5789</v>
      </c>
      <c r="L74" s="1724"/>
      <c r="M74" s="1724"/>
      <c r="N74" s="1724"/>
      <c r="O74" s="1111" t="s">
        <v>631</v>
      </c>
      <c r="P74" s="1111"/>
    </row>
    <row r="75" spans="1:16" x14ac:dyDescent="0.25">
      <c r="A75" s="1722" t="s">
        <v>723</v>
      </c>
      <c r="B75" s="1722"/>
      <c r="C75" s="1722"/>
      <c r="D75" s="1722"/>
      <c r="E75" s="1723" t="s">
        <v>630</v>
      </c>
      <c r="F75" s="1723"/>
      <c r="G75" s="1723"/>
      <c r="H75" s="1723"/>
      <c r="I75" s="1724">
        <v>7425</v>
      </c>
      <c r="J75" s="1724"/>
      <c r="K75" s="1724">
        <v>7901</v>
      </c>
      <c r="L75" s="1724"/>
      <c r="M75" s="1724"/>
      <c r="N75" s="1724"/>
      <c r="O75" s="1111" t="s">
        <v>656</v>
      </c>
      <c r="P75" s="1111"/>
    </row>
    <row r="76" spans="1:16" x14ac:dyDescent="0.25">
      <c r="A76" s="1722" t="s">
        <v>724</v>
      </c>
      <c r="B76" s="1722"/>
      <c r="C76" s="1722"/>
      <c r="D76" s="1722"/>
      <c r="E76" s="1723" t="s">
        <v>638</v>
      </c>
      <c r="F76" s="1723"/>
      <c r="G76" s="1723"/>
      <c r="H76" s="1723"/>
      <c r="I76" s="1724">
        <v>6322</v>
      </c>
      <c r="J76" s="1724"/>
      <c r="K76" s="1724">
        <v>6338</v>
      </c>
      <c r="L76" s="1724"/>
      <c r="M76" s="1724"/>
      <c r="N76" s="1724"/>
      <c r="O76" s="1111" t="s">
        <v>631</v>
      </c>
      <c r="P76" s="1111"/>
    </row>
    <row r="77" spans="1:16" x14ac:dyDescent="0.25">
      <c r="A77" s="1722" t="s">
        <v>725</v>
      </c>
      <c r="B77" s="1722"/>
      <c r="C77" s="1722"/>
      <c r="D77" s="1722"/>
      <c r="E77" s="1723" t="s">
        <v>677</v>
      </c>
      <c r="F77" s="1723"/>
      <c r="G77" s="1723"/>
      <c r="H77" s="1723"/>
      <c r="I77" s="1724">
        <v>6447</v>
      </c>
      <c r="J77" s="1724"/>
      <c r="K77" s="1724">
        <v>5418</v>
      </c>
      <c r="L77" s="1724"/>
      <c r="M77" s="1724"/>
      <c r="N77" s="1724"/>
      <c r="O77" s="1111" t="s">
        <v>631</v>
      </c>
      <c r="P77" s="1111"/>
    </row>
    <row r="78" spans="1:16" x14ac:dyDescent="0.25">
      <c r="A78" s="1722" t="s">
        <v>726</v>
      </c>
      <c r="B78" s="1722"/>
      <c r="C78" s="1722"/>
      <c r="D78" s="1722"/>
      <c r="E78" s="1723" t="s">
        <v>727</v>
      </c>
      <c r="F78" s="1723"/>
      <c r="G78" s="1723"/>
      <c r="H78" s="1723"/>
      <c r="I78" s="1724">
        <v>4245</v>
      </c>
      <c r="J78" s="1724"/>
      <c r="K78" s="1724">
        <v>3394</v>
      </c>
      <c r="L78" s="1724"/>
      <c r="M78" s="1724">
        <v>5103</v>
      </c>
      <c r="N78" s="1724"/>
      <c r="O78" s="1111" t="s">
        <v>636</v>
      </c>
      <c r="P78" s="1111"/>
    </row>
    <row r="79" spans="1:16" x14ac:dyDescent="0.25">
      <c r="A79" s="1722" t="s">
        <v>728</v>
      </c>
      <c r="B79" s="1722"/>
      <c r="C79" s="1722"/>
      <c r="D79" s="1722"/>
      <c r="E79" s="1723" t="s">
        <v>729</v>
      </c>
      <c r="F79" s="1723"/>
      <c r="G79" s="1723"/>
      <c r="H79" s="1723"/>
      <c r="I79" s="1724">
        <v>4096</v>
      </c>
      <c r="J79" s="1724"/>
      <c r="K79" s="1724">
        <v>3767</v>
      </c>
      <c r="L79" s="1724"/>
      <c r="M79" s="1724">
        <v>4429</v>
      </c>
      <c r="N79" s="1724"/>
      <c r="O79" s="1111" t="s">
        <v>639</v>
      </c>
      <c r="P79" s="1111"/>
    </row>
    <row r="80" spans="1:16" x14ac:dyDescent="0.25">
      <c r="A80" s="1722" t="s">
        <v>730</v>
      </c>
      <c r="B80" s="1722"/>
      <c r="C80" s="1722"/>
      <c r="D80" s="1722"/>
      <c r="E80" s="1723" t="s">
        <v>635</v>
      </c>
      <c r="F80" s="1723"/>
      <c r="G80" s="1723"/>
      <c r="H80" s="1723"/>
      <c r="I80" s="1724">
        <v>4508</v>
      </c>
      <c r="J80" s="1724"/>
      <c r="K80" s="1724">
        <v>3056</v>
      </c>
      <c r="L80" s="1724"/>
      <c r="M80" s="1724">
        <v>5130</v>
      </c>
      <c r="N80" s="1724"/>
      <c r="O80" s="1111" t="s">
        <v>636</v>
      </c>
      <c r="P80" s="1111"/>
    </row>
    <row r="81" spans="1:16" x14ac:dyDescent="0.25">
      <c r="A81" s="1722" t="s">
        <v>731</v>
      </c>
      <c r="B81" s="1722"/>
      <c r="C81" s="1722"/>
      <c r="D81" s="1722"/>
      <c r="E81" s="1723" t="s">
        <v>677</v>
      </c>
      <c r="F81" s="1723"/>
      <c r="G81" s="1723"/>
      <c r="H81" s="1723"/>
      <c r="I81" s="1724">
        <v>6293</v>
      </c>
      <c r="J81" s="1724"/>
      <c r="K81" s="1724">
        <v>5742</v>
      </c>
      <c r="L81" s="1724"/>
      <c r="M81" s="1724"/>
      <c r="N81" s="1724"/>
      <c r="O81" s="1111" t="s">
        <v>631</v>
      </c>
      <c r="P81" s="1111"/>
    </row>
  </sheetData>
  <sheetProtection algorithmName="SHA-512" hashValue="7Ervpiv39bQyrStQWVf1IlFCsaYA/B6ryiqDwaeELgALo/XyGX42BKl8sfPdxhU+PviOKY+iByQwYDBUjqMNoQ==" saltValue="HKAMR1kPwW5rtm49ZQXVFQ==" spinCount="100000" sheet="1" objects="1" scenarios="1" formatRows="0" selectLockedCells="1"/>
  <mergeCells count="441">
    <mergeCell ref="H1:K7"/>
    <mergeCell ref="L1:P7"/>
    <mergeCell ref="A8:D8"/>
    <mergeCell ref="E8:H8"/>
    <mergeCell ref="I8:J8"/>
    <mergeCell ref="K8:L8"/>
    <mergeCell ref="M8:N8"/>
    <mergeCell ref="O8:P8"/>
    <mergeCell ref="A11:D11"/>
    <mergeCell ref="E11:H11"/>
    <mergeCell ref="I11:J11"/>
    <mergeCell ref="K11:L11"/>
    <mergeCell ref="M11:N11"/>
    <mergeCell ref="O11:P11"/>
    <mergeCell ref="A9:P9"/>
    <mergeCell ref="A10:D10"/>
    <mergeCell ref="E10:H10"/>
    <mergeCell ref="I10:J10"/>
    <mergeCell ref="K10:L10"/>
    <mergeCell ref="M10:N10"/>
    <mergeCell ref="O10:P10"/>
    <mergeCell ref="A13:D13"/>
    <mergeCell ref="E13:H13"/>
    <mergeCell ref="I13:J13"/>
    <mergeCell ref="K13:L13"/>
    <mergeCell ref="M13:N13"/>
    <mergeCell ref="O13:P13"/>
    <mergeCell ref="A12:D12"/>
    <mergeCell ref="E12:H12"/>
    <mergeCell ref="I12:J12"/>
    <mergeCell ref="K12:L12"/>
    <mergeCell ref="M12:N12"/>
    <mergeCell ref="O12:P12"/>
    <mergeCell ref="A15:D15"/>
    <mergeCell ref="E15:H15"/>
    <mergeCell ref="I15:J15"/>
    <mergeCell ref="K15:L15"/>
    <mergeCell ref="M15:N15"/>
    <mergeCell ref="O15:P15"/>
    <mergeCell ref="A14:D14"/>
    <mergeCell ref="E14:H14"/>
    <mergeCell ref="I14:J14"/>
    <mergeCell ref="K14:L14"/>
    <mergeCell ref="M14:N14"/>
    <mergeCell ref="O14:P14"/>
    <mergeCell ref="A17:D17"/>
    <mergeCell ref="E17:H17"/>
    <mergeCell ref="I17:J17"/>
    <mergeCell ref="K17:L17"/>
    <mergeCell ref="M17:N17"/>
    <mergeCell ref="O17:P17"/>
    <mergeCell ref="A16:D16"/>
    <mergeCell ref="E16:H16"/>
    <mergeCell ref="I16:J16"/>
    <mergeCell ref="K16:L16"/>
    <mergeCell ref="M16:N16"/>
    <mergeCell ref="O16:P16"/>
    <mergeCell ref="A19:D19"/>
    <mergeCell ref="E19:H19"/>
    <mergeCell ref="I19:J19"/>
    <mergeCell ref="K19:L19"/>
    <mergeCell ref="M19:N19"/>
    <mergeCell ref="O19:P19"/>
    <mergeCell ref="A18:D18"/>
    <mergeCell ref="E18:H18"/>
    <mergeCell ref="I18:J18"/>
    <mergeCell ref="K18:L18"/>
    <mergeCell ref="M18:N18"/>
    <mergeCell ref="O18:P18"/>
    <mergeCell ref="A21:D21"/>
    <mergeCell ref="E21:H21"/>
    <mergeCell ref="I21:J21"/>
    <mergeCell ref="K21:L21"/>
    <mergeCell ref="M21:N21"/>
    <mergeCell ref="O21:P21"/>
    <mergeCell ref="A20:D20"/>
    <mergeCell ref="E20:H20"/>
    <mergeCell ref="I20:J20"/>
    <mergeCell ref="K20:L20"/>
    <mergeCell ref="M20:N20"/>
    <mergeCell ref="O20:P20"/>
    <mergeCell ref="A23:D23"/>
    <mergeCell ref="E23:H23"/>
    <mergeCell ref="I23:J23"/>
    <mergeCell ref="K23:L23"/>
    <mergeCell ref="M23:N23"/>
    <mergeCell ref="O23:P23"/>
    <mergeCell ref="A22:D22"/>
    <mergeCell ref="E22:H22"/>
    <mergeCell ref="I22:J22"/>
    <mergeCell ref="K22:L22"/>
    <mergeCell ref="M22:N22"/>
    <mergeCell ref="O22:P22"/>
    <mergeCell ref="A25:D25"/>
    <mergeCell ref="E25:H25"/>
    <mergeCell ref="I25:J25"/>
    <mergeCell ref="K25:L25"/>
    <mergeCell ref="M25:N25"/>
    <mergeCell ref="O25:P25"/>
    <mergeCell ref="A24:D24"/>
    <mergeCell ref="E24:H24"/>
    <mergeCell ref="I24:J24"/>
    <mergeCell ref="K24:L24"/>
    <mergeCell ref="M24:N24"/>
    <mergeCell ref="O24:P24"/>
    <mergeCell ref="A27:D27"/>
    <mergeCell ref="E27:H27"/>
    <mergeCell ref="I27:J27"/>
    <mergeCell ref="K27:L27"/>
    <mergeCell ref="M27:N27"/>
    <mergeCell ref="O27:P27"/>
    <mergeCell ref="A26:D26"/>
    <mergeCell ref="E26:H26"/>
    <mergeCell ref="I26:J26"/>
    <mergeCell ref="K26:L26"/>
    <mergeCell ref="M26:N26"/>
    <mergeCell ref="O26:P26"/>
    <mergeCell ref="A29:D29"/>
    <mergeCell ref="E29:H29"/>
    <mergeCell ref="I29:J29"/>
    <mergeCell ref="K29:L29"/>
    <mergeCell ref="M29:N29"/>
    <mergeCell ref="O29:P29"/>
    <mergeCell ref="A28:D28"/>
    <mergeCell ref="E28:H28"/>
    <mergeCell ref="I28:J28"/>
    <mergeCell ref="K28:L28"/>
    <mergeCell ref="M28:N28"/>
    <mergeCell ref="O28:P28"/>
    <mergeCell ref="A31:D31"/>
    <mergeCell ref="E31:H31"/>
    <mergeCell ref="I31:J31"/>
    <mergeCell ref="K31:L31"/>
    <mergeCell ref="M31:N31"/>
    <mergeCell ref="O31:P31"/>
    <mergeCell ref="A30:D30"/>
    <mergeCell ref="E30:H30"/>
    <mergeCell ref="I30:J30"/>
    <mergeCell ref="K30:L30"/>
    <mergeCell ref="M30:N30"/>
    <mergeCell ref="O30:P30"/>
    <mergeCell ref="A33:D33"/>
    <mergeCell ref="E33:H33"/>
    <mergeCell ref="I33:J33"/>
    <mergeCell ref="K33:L33"/>
    <mergeCell ref="M33:N33"/>
    <mergeCell ref="O33:P33"/>
    <mergeCell ref="A32:D32"/>
    <mergeCell ref="E32:H32"/>
    <mergeCell ref="I32:J32"/>
    <mergeCell ref="K32:L32"/>
    <mergeCell ref="M32:N32"/>
    <mergeCell ref="O32:P32"/>
    <mergeCell ref="A35:D35"/>
    <mergeCell ref="E35:H35"/>
    <mergeCell ref="I35:J35"/>
    <mergeCell ref="K35:L35"/>
    <mergeCell ref="M35:N35"/>
    <mergeCell ref="O35:P35"/>
    <mergeCell ref="A34:D34"/>
    <mergeCell ref="E34:H34"/>
    <mergeCell ref="I34:J34"/>
    <mergeCell ref="K34:L34"/>
    <mergeCell ref="M34:N34"/>
    <mergeCell ref="O34:P34"/>
    <mergeCell ref="A37:D37"/>
    <mergeCell ref="E37:H37"/>
    <mergeCell ref="I37:J37"/>
    <mergeCell ref="K37:L37"/>
    <mergeCell ref="M37:N37"/>
    <mergeCell ref="O37:P37"/>
    <mergeCell ref="A36:D36"/>
    <mergeCell ref="E36:H36"/>
    <mergeCell ref="I36:J36"/>
    <mergeCell ref="K36:L36"/>
    <mergeCell ref="M36:N36"/>
    <mergeCell ref="O36:P36"/>
    <mergeCell ref="A39:D39"/>
    <mergeCell ref="E39:H39"/>
    <mergeCell ref="I39:J39"/>
    <mergeCell ref="K39:L39"/>
    <mergeCell ref="M39:N39"/>
    <mergeCell ref="O39:P39"/>
    <mergeCell ref="A38:D38"/>
    <mergeCell ref="E38:H38"/>
    <mergeCell ref="I38:J38"/>
    <mergeCell ref="K38:L38"/>
    <mergeCell ref="M38:N38"/>
    <mergeCell ref="O38:P38"/>
    <mergeCell ref="A41:D41"/>
    <mergeCell ref="E41:H41"/>
    <mergeCell ref="I41:J41"/>
    <mergeCell ref="K41:L41"/>
    <mergeCell ref="M41:N41"/>
    <mergeCell ref="O41:P41"/>
    <mergeCell ref="A40:D40"/>
    <mergeCell ref="E40:H40"/>
    <mergeCell ref="I40:J40"/>
    <mergeCell ref="K40:L40"/>
    <mergeCell ref="M40:N40"/>
    <mergeCell ref="O40:P40"/>
    <mergeCell ref="A43:D43"/>
    <mergeCell ref="E43:H43"/>
    <mergeCell ref="I43:J43"/>
    <mergeCell ref="K43:L43"/>
    <mergeCell ref="M43:N43"/>
    <mergeCell ref="O43:P43"/>
    <mergeCell ref="A42:D42"/>
    <mergeCell ref="E42:H42"/>
    <mergeCell ref="I42:J42"/>
    <mergeCell ref="K42:L42"/>
    <mergeCell ref="M42:N42"/>
    <mergeCell ref="O42:P42"/>
    <mergeCell ref="A45:D45"/>
    <mergeCell ref="E45:H45"/>
    <mergeCell ref="I45:J45"/>
    <mergeCell ref="K45:L45"/>
    <mergeCell ref="M45:N45"/>
    <mergeCell ref="O45:P45"/>
    <mergeCell ref="A44:D44"/>
    <mergeCell ref="E44:H44"/>
    <mergeCell ref="I44:J44"/>
    <mergeCell ref="K44:L44"/>
    <mergeCell ref="M44:N44"/>
    <mergeCell ref="O44:P44"/>
    <mergeCell ref="A47:D47"/>
    <mergeCell ref="E47:H47"/>
    <mergeCell ref="I47:J47"/>
    <mergeCell ref="K47:L47"/>
    <mergeCell ref="M47:N47"/>
    <mergeCell ref="O47:P47"/>
    <mergeCell ref="A46:D46"/>
    <mergeCell ref="E46:H46"/>
    <mergeCell ref="I46:J46"/>
    <mergeCell ref="K46:L46"/>
    <mergeCell ref="M46:N46"/>
    <mergeCell ref="O46:P46"/>
    <mergeCell ref="A49:D49"/>
    <mergeCell ref="E49:H49"/>
    <mergeCell ref="I49:J49"/>
    <mergeCell ref="K49:L49"/>
    <mergeCell ref="M49:N49"/>
    <mergeCell ref="O49:P49"/>
    <mergeCell ref="A48:D48"/>
    <mergeCell ref="E48:H48"/>
    <mergeCell ref="I48:J48"/>
    <mergeCell ref="K48:L48"/>
    <mergeCell ref="M48:N48"/>
    <mergeCell ref="O48:P48"/>
    <mergeCell ref="A51:D51"/>
    <mergeCell ref="E51:H51"/>
    <mergeCell ref="I51:J51"/>
    <mergeCell ref="K51:L51"/>
    <mergeCell ref="M51:N51"/>
    <mergeCell ref="O51:P51"/>
    <mergeCell ref="A50:D50"/>
    <mergeCell ref="E50:H50"/>
    <mergeCell ref="I50:J50"/>
    <mergeCell ref="K50:L50"/>
    <mergeCell ref="M50:N50"/>
    <mergeCell ref="O50:P50"/>
    <mergeCell ref="A53:D53"/>
    <mergeCell ref="E53:H53"/>
    <mergeCell ref="I53:J53"/>
    <mergeCell ref="K53:L53"/>
    <mergeCell ref="M53:N53"/>
    <mergeCell ref="O53:P53"/>
    <mergeCell ref="A52:D52"/>
    <mergeCell ref="E52:H52"/>
    <mergeCell ref="I52:J52"/>
    <mergeCell ref="K52:L52"/>
    <mergeCell ref="M52:N52"/>
    <mergeCell ref="O52:P52"/>
    <mergeCell ref="A55:D55"/>
    <mergeCell ref="E55:H55"/>
    <mergeCell ref="I55:J55"/>
    <mergeCell ref="K55:L55"/>
    <mergeCell ref="M55:N55"/>
    <mergeCell ref="O55:P55"/>
    <mergeCell ref="A54:D54"/>
    <mergeCell ref="E54:H54"/>
    <mergeCell ref="I54:J54"/>
    <mergeCell ref="K54:L54"/>
    <mergeCell ref="M54:N54"/>
    <mergeCell ref="O54:P54"/>
    <mergeCell ref="A57:D57"/>
    <mergeCell ref="E57:H57"/>
    <mergeCell ref="I57:J57"/>
    <mergeCell ref="K57:L57"/>
    <mergeCell ref="M57:N57"/>
    <mergeCell ref="O57:P57"/>
    <mergeCell ref="A56:D56"/>
    <mergeCell ref="E56:H56"/>
    <mergeCell ref="I56:J56"/>
    <mergeCell ref="K56:L56"/>
    <mergeCell ref="M56:N56"/>
    <mergeCell ref="O56:P56"/>
    <mergeCell ref="A59:D59"/>
    <mergeCell ref="E59:H59"/>
    <mergeCell ref="I59:J59"/>
    <mergeCell ref="K59:L59"/>
    <mergeCell ref="M59:N59"/>
    <mergeCell ref="O59:P59"/>
    <mergeCell ref="A58:D58"/>
    <mergeCell ref="E58:H58"/>
    <mergeCell ref="I58:J58"/>
    <mergeCell ref="K58:L58"/>
    <mergeCell ref="M58:N58"/>
    <mergeCell ref="O58:P58"/>
    <mergeCell ref="A61:D61"/>
    <mergeCell ref="E61:H61"/>
    <mergeCell ref="I61:J61"/>
    <mergeCell ref="K61:L61"/>
    <mergeCell ref="M61:N61"/>
    <mergeCell ref="O61:P61"/>
    <mergeCell ref="A60:D60"/>
    <mergeCell ref="E60:H60"/>
    <mergeCell ref="I60:J60"/>
    <mergeCell ref="K60:L60"/>
    <mergeCell ref="M60:N60"/>
    <mergeCell ref="O60:P60"/>
    <mergeCell ref="A63:D63"/>
    <mergeCell ref="E63:H63"/>
    <mergeCell ref="I63:J63"/>
    <mergeCell ref="K63:L63"/>
    <mergeCell ref="M63:N63"/>
    <mergeCell ref="O63:P63"/>
    <mergeCell ref="A62:D62"/>
    <mergeCell ref="E62:H62"/>
    <mergeCell ref="I62:J62"/>
    <mergeCell ref="K62:L62"/>
    <mergeCell ref="M62:N62"/>
    <mergeCell ref="O62:P62"/>
    <mergeCell ref="A65:D65"/>
    <mergeCell ref="E65:H65"/>
    <mergeCell ref="I65:J65"/>
    <mergeCell ref="K65:L65"/>
    <mergeCell ref="M65:N65"/>
    <mergeCell ref="O65:P65"/>
    <mergeCell ref="A64:D64"/>
    <mergeCell ref="E64:H64"/>
    <mergeCell ref="I64:J64"/>
    <mergeCell ref="K64:L64"/>
    <mergeCell ref="M64:N64"/>
    <mergeCell ref="O64:P64"/>
    <mergeCell ref="A67:D67"/>
    <mergeCell ref="E67:H67"/>
    <mergeCell ref="I67:J67"/>
    <mergeCell ref="K67:L67"/>
    <mergeCell ref="M67:N67"/>
    <mergeCell ref="O67:P67"/>
    <mergeCell ref="A66:D66"/>
    <mergeCell ref="E66:H66"/>
    <mergeCell ref="I66:J66"/>
    <mergeCell ref="K66:L66"/>
    <mergeCell ref="M66:N66"/>
    <mergeCell ref="O66:P66"/>
    <mergeCell ref="A69:D69"/>
    <mergeCell ref="E69:H69"/>
    <mergeCell ref="I69:J69"/>
    <mergeCell ref="K69:L69"/>
    <mergeCell ref="M69:N69"/>
    <mergeCell ref="O69:P69"/>
    <mergeCell ref="A68:D68"/>
    <mergeCell ref="E68:H68"/>
    <mergeCell ref="I68:J68"/>
    <mergeCell ref="K68:L68"/>
    <mergeCell ref="M68:N68"/>
    <mergeCell ref="O68:P68"/>
    <mergeCell ref="A71:D71"/>
    <mergeCell ref="E71:H71"/>
    <mergeCell ref="I71:J71"/>
    <mergeCell ref="K71:L71"/>
    <mergeCell ref="M71:N71"/>
    <mergeCell ref="O71:P71"/>
    <mergeCell ref="A70:D70"/>
    <mergeCell ref="E70:H70"/>
    <mergeCell ref="I70:J70"/>
    <mergeCell ref="K70:L70"/>
    <mergeCell ref="M70:N70"/>
    <mergeCell ref="O70:P70"/>
    <mergeCell ref="A73:D73"/>
    <mergeCell ref="E73:H73"/>
    <mergeCell ref="I73:J73"/>
    <mergeCell ref="K73:L73"/>
    <mergeCell ref="M73:N73"/>
    <mergeCell ref="O73:P73"/>
    <mergeCell ref="A72:D72"/>
    <mergeCell ref="E72:H72"/>
    <mergeCell ref="I72:J72"/>
    <mergeCell ref="K72:L72"/>
    <mergeCell ref="M72:N72"/>
    <mergeCell ref="O72:P72"/>
    <mergeCell ref="A75:D75"/>
    <mergeCell ref="E75:H75"/>
    <mergeCell ref="I75:J75"/>
    <mergeCell ref="K75:L75"/>
    <mergeCell ref="M75:N75"/>
    <mergeCell ref="O75:P75"/>
    <mergeCell ref="A74:D74"/>
    <mergeCell ref="E74:H74"/>
    <mergeCell ref="I74:J74"/>
    <mergeCell ref="K74:L74"/>
    <mergeCell ref="M74:N74"/>
    <mergeCell ref="O74:P74"/>
    <mergeCell ref="A77:D77"/>
    <mergeCell ref="E77:H77"/>
    <mergeCell ref="I77:J77"/>
    <mergeCell ref="K77:L77"/>
    <mergeCell ref="M77:N77"/>
    <mergeCell ref="O77:P77"/>
    <mergeCell ref="A76:D76"/>
    <mergeCell ref="E76:H76"/>
    <mergeCell ref="I76:J76"/>
    <mergeCell ref="K76:L76"/>
    <mergeCell ref="M76:N76"/>
    <mergeCell ref="O76:P76"/>
    <mergeCell ref="A81:D81"/>
    <mergeCell ref="E81:H81"/>
    <mergeCell ref="I81:J81"/>
    <mergeCell ref="K81:L81"/>
    <mergeCell ref="M81:N81"/>
    <mergeCell ref="O81:P81"/>
    <mergeCell ref="A80:D80"/>
    <mergeCell ref="E80:H80"/>
    <mergeCell ref="I80:J80"/>
    <mergeCell ref="K80:L80"/>
    <mergeCell ref="M80:N80"/>
    <mergeCell ref="O80:P80"/>
    <mergeCell ref="A79:D79"/>
    <mergeCell ref="E79:H79"/>
    <mergeCell ref="I79:J79"/>
    <mergeCell ref="K79:L79"/>
    <mergeCell ref="M79:N79"/>
    <mergeCell ref="O79:P79"/>
    <mergeCell ref="A78:D78"/>
    <mergeCell ref="E78:H78"/>
    <mergeCell ref="I78:J78"/>
    <mergeCell ref="K78:L78"/>
    <mergeCell ref="M78:N78"/>
    <mergeCell ref="O78:P78"/>
  </mergeCells>
  <pageMargins left="0.7" right="0.7" top="0.75" bottom="0.75" header="0.3" footer="0.3"/>
  <pageSetup scale="64" fitToHeight="2" orientation="portrait" r:id="rId1"/>
  <headerFooter>
    <oddHeader>&amp;L&amp;F&amp;R&amp;A</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K40"/>
  <sheetViews>
    <sheetView workbookViewId="0">
      <selection activeCell="H156" sqref="H156"/>
    </sheetView>
  </sheetViews>
  <sheetFormatPr defaultColWidth="11.28515625" defaultRowHeight="15" x14ac:dyDescent="0.25"/>
  <cols>
    <col min="1" max="10" width="13.7109375" customWidth="1"/>
    <col min="11" max="11" width="13.7109375" style="262" customWidth="1"/>
  </cols>
  <sheetData>
    <row r="1" spans="1:11" x14ac:dyDescent="0.25">
      <c r="A1" s="1606"/>
      <c r="B1" s="1432"/>
      <c r="C1" s="1432"/>
      <c r="D1" s="929"/>
      <c r="E1" s="929"/>
      <c r="F1" s="929"/>
      <c r="G1" s="929"/>
      <c r="H1" s="930"/>
      <c r="I1" s="1734" t="s">
        <v>918</v>
      </c>
      <c r="J1" s="1734"/>
      <c r="K1" s="1735"/>
    </row>
    <row r="2" spans="1:11" x14ac:dyDescent="0.25">
      <c r="A2" s="926"/>
      <c r="B2" s="706"/>
      <c r="C2" s="706"/>
      <c r="D2" s="1732"/>
      <c r="E2" s="1732"/>
      <c r="F2" s="1732"/>
      <c r="G2" s="1732"/>
      <c r="H2" s="1733"/>
      <c r="I2" s="1736"/>
      <c r="J2" s="1736"/>
      <c r="K2" s="1737"/>
    </row>
    <row r="3" spans="1:11" x14ac:dyDescent="0.25">
      <c r="A3" s="926"/>
      <c r="B3" s="706"/>
      <c r="C3" s="706"/>
      <c r="D3" s="1732"/>
      <c r="E3" s="1732"/>
      <c r="F3" s="1732"/>
      <c r="G3" s="1732"/>
      <c r="H3" s="1733"/>
      <c r="I3" s="1736"/>
      <c r="J3" s="1736"/>
      <c r="K3" s="1737"/>
    </row>
    <row r="4" spans="1:11" x14ac:dyDescent="0.25">
      <c r="A4" s="926"/>
      <c r="B4" s="706"/>
      <c r="C4" s="706"/>
      <c r="D4" s="1732"/>
      <c r="E4" s="1732"/>
      <c r="F4" s="1732"/>
      <c r="G4" s="1732"/>
      <c r="H4" s="1733"/>
      <c r="I4" s="1736"/>
      <c r="J4" s="1736"/>
      <c r="K4" s="1737"/>
    </row>
    <row r="5" spans="1:11" x14ac:dyDescent="0.25">
      <c r="A5" s="926"/>
      <c r="B5" s="706"/>
      <c r="C5" s="706"/>
      <c r="D5" s="1732"/>
      <c r="E5" s="1732"/>
      <c r="F5" s="1732"/>
      <c r="G5" s="1732"/>
      <c r="H5" s="1733"/>
      <c r="I5" s="1736"/>
      <c r="J5" s="1736"/>
      <c r="K5" s="1737"/>
    </row>
    <row r="6" spans="1:11" ht="25.15" customHeight="1" x14ac:dyDescent="0.25">
      <c r="A6" s="1738" t="s">
        <v>1154</v>
      </c>
      <c r="B6" s="1739"/>
      <c r="C6" s="1739"/>
      <c r="D6" s="1739"/>
      <c r="E6" s="1739"/>
      <c r="F6" s="1739"/>
      <c r="G6" s="1739"/>
      <c r="H6" s="1739"/>
      <c r="I6" s="1739"/>
      <c r="J6" s="1739"/>
      <c r="K6" s="1740"/>
    </row>
    <row r="7" spans="1:11" ht="25.15" customHeight="1" x14ac:dyDescent="0.25">
      <c r="A7" s="1738"/>
      <c r="B7" s="1739"/>
      <c r="C7" s="1739"/>
      <c r="D7" s="1739"/>
      <c r="E7" s="1739"/>
      <c r="F7" s="1739"/>
      <c r="G7" s="1739"/>
      <c r="H7" s="1739"/>
      <c r="I7" s="1739"/>
      <c r="J7" s="1739"/>
      <c r="K7" s="1740"/>
    </row>
    <row r="8" spans="1:11" ht="45" x14ac:dyDescent="0.25">
      <c r="A8" s="65" t="s">
        <v>627</v>
      </c>
      <c r="B8" s="65" t="s">
        <v>733</v>
      </c>
      <c r="C8" s="65" t="s">
        <v>734</v>
      </c>
      <c r="D8" s="65" t="s">
        <v>735</v>
      </c>
      <c r="E8" s="65" t="s">
        <v>736</v>
      </c>
      <c r="F8" s="65" t="s">
        <v>737</v>
      </c>
      <c r="G8" s="65" t="s">
        <v>1155</v>
      </c>
      <c r="H8" s="65" t="s">
        <v>739</v>
      </c>
      <c r="I8" s="65" t="s">
        <v>740</v>
      </c>
      <c r="J8" s="65" t="s">
        <v>741</v>
      </c>
      <c r="K8" s="65" t="s">
        <v>742</v>
      </c>
    </row>
    <row r="9" spans="1:11" x14ac:dyDescent="0.25">
      <c r="A9" s="242">
        <v>3</v>
      </c>
      <c r="B9" s="66">
        <v>0.3</v>
      </c>
      <c r="C9" s="66">
        <v>0.55000000000000004</v>
      </c>
      <c r="D9" s="66">
        <v>0.25</v>
      </c>
      <c r="E9" s="242">
        <v>38</v>
      </c>
      <c r="F9" s="242" t="s">
        <v>751</v>
      </c>
      <c r="G9" s="67" t="s">
        <v>760</v>
      </c>
      <c r="H9" s="242">
        <v>19</v>
      </c>
      <c r="I9" s="67" t="s">
        <v>745</v>
      </c>
      <c r="J9" s="67" t="s">
        <v>261</v>
      </c>
      <c r="K9" s="67" t="s">
        <v>746</v>
      </c>
    </row>
    <row r="10" spans="1:11" x14ac:dyDescent="0.25">
      <c r="A10" s="242">
        <v>4</v>
      </c>
      <c r="B10" s="66">
        <v>0.3</v>
      </c>
      <c r="C10" s="66">
        <v>0.55000000000000004</v>
      </c>
      <c r="D10" s="66">
        <v>0.4</v>
      </c>
      <c r="E10" s="242">
        <v>49</v>
      </c>
      <c r="F10" s="242" t="s">
        <v>1140</v>
      </c>
      <c r="G10" s="67" t="s">
        <v>760</v>
      </c>
      <c r="H10" s="242">
        <v>19</v>
      </c>
      <c r="I10" s="67" t="s">
        <v>749</v>
      </c>
      <c r="J10" s="67" t="s">
        <v>750</v>
      </c>
      <c r="K10" s="67" t="s">
        <v>749</v>
      </c>
    </row>
    <row r="11" spans="1:11" x14ac:dyDescent="0.25">
      <c r="A11" s="242">
        <v>5</v>
      </c>
      <c r="B11" s="66" t="s">
        <v>1141</v>
      </c>
      <c r="C11" s="66">
        <v>0.55000000000000004</v>
      </c>
      <c r="D11" s="66">
        <v>0.4</v>
      </c>
      <c r="E11" s="242">
        <v>49</v>
      </c>
      <c r="F11" s="242" t="s">
        <v>1140</v>
      </c>
      <c r="G11" s="67" t="s">
        <v>752</v>
      </c>
      <c r="H11" s="242" t="s">
        <v>753</v>
      </c>
      <c r="I11" s="67" t="s">
        <v>754</v>
      </c>
      <c r="J11" s="67" t="s">
        <v>750</v>
      </c>
      <c r="K11" s="67" t="s">
        <v>754</v>
      </c>
    </row>
    <row r="12" spans="1:11" x14ac:dyDescent="0.25">
      <c r="A12" s="242">
        <v>6</v>
      </c>
      <c r="B12" s="66" t="s">
        <v>1141</v>
      </c>
      <c r="C12" s="66">
        <v>0.55000000000000004</v>
      </c>
      <c r="D12" s="66" t="s">
        <v>747</v>
      </c>
      <c r="E12" s="242">
        <v>49</v>
      </c>
      <c r="F12" s="242" t="s">
        <v>1140</v>
      </c>
      <c r="G12" s="67" t="s">
        <v>762</v>
      </c>
      <c r="H12" s="242" t="s">
        <v>753</v>
      </c>
      <c r="I12" s="67" t="s">
        <v>754</v>
      </c>
      <c r="J12" s="67" t="s">
        <v>755</v>
      </c>
      <c r="K12" s="67" t="s">
        <v>754</v>
      </c>
    </row>
    <row r="13" spans="1:11" x14ac:dyDescent="0.25">
      <c r="A13" s="242">
        <v>7</v>
      </c>
      <c r="B13" s="66" t="s">
        <v>1141</v>
      </c>
      <c r="C13" s="66">
        <v>0.55000000000000004</v>
      </c>
      <c r="D13" s="66" t="s">
        <v>747</v>
      </c>
      <c r="E13" s="242">
        <v>49</v>
      </c>
      <c r="F13" s="242" t="s">
        <v>1140</v>
      </c>
      <c r="G13" s="67" t="s">
        <v>756</v>
      </c>
      <c r="H13" s="242" t="s">
        <v>763</v>
      </c>
      <c r="I13" s="67" t="s">
        <v>754</v>
      </c>
      <c r="J13" s="67" t="s">
        <v>755</v>
      </c>
      <c r="K13" s="67" t="s">
        <v>754</v>
      </c>
    </row>
    <row r="14" spans="1:11" x14ac:dyDescent="0.25">
      <c r="A14" s="104"/>
      <c r="B14" s="93"/>
      <c r="C14" s="93"/>
      <c r="D14" s="93"/>
      <c r="E14" s="93"/>
      <c r="F14" s="93"/>
      <c r="G14" s="93"/>
      <c r="H14" s="93"/>
      <c r="I14" s="93"/>
      <c r="J14" s="93"/>
      <c r="K14" s="291"/>
    </row>
    <row r="15" spans="1:11" hidden="1" x14ac:dyDescent="0.25">
      <c r="A15" s="1738" t="s">
        <v>757</v>
      </c>
      <c r="B15" s="1739"/>
      <c r="C15" s="1739"/>
      <c r="D15" s="1739"/>
      <c r="E15" s="1739"/>
      <c r="F15" s="1739"/>
      <c r="G15" s="1739"/>
      <c r="H15" s="1739"/>
      <c r="I15" s="1739"/>
      <c r="J15" s="1739"/>
      <c r="K15" s="1740"/>
    </row>
    <row r="16" spans="1:11" hidden="1" x14ac:dyDescent="0.25">
      <c r="A16" s="1738"/>
      <c r="B16" s="1739"/>
      <c r="C16" s="1739"/>
      <c r="D16" s="1739"/>
      <c r="E16" s="1739"/>
      <c r="F16" s="1739"/>
      <c r="G16" s="1739"/>
      <c r="H16" s="1739"/>
      <c r="I16" s="1739"/>
      <c r="J16" s="1739"/>
      <c r="K16" s="1740"/>
    </row>
    <row r="17" spans="1:11" ht="45" hidden="1" x14ac:dyDescent="0.25">
      <c r="A17" s="65" t="s">
        <v>627</v>
      </c>
      <c r="B17" s="65" t="s">
        <v>733</v>
      </c>
      <c r="C17" s="65" t="s">
        <v>734</v>
      </c>
      <c r="D17" s="65" t="s">
        <v>758</v>
      </c>
      <c r="E17" s="65" t="s">
        <v>759</v>
      </c>
      <c r="F17" s="65" t="s">
        <v>737</v>
      </c>
      <c r="G17" s="65" t="s">
        <v>738</v>
      </c>
      <c r="H17" s="65" t="s">
        <v>739</v>
      </c>
      <c r="I17" s="65" t="s">
        <v>740</v>
      </c>
      <c r="J17" s="65" t="s">
        <v>741</v>
      </c>
      <c r="K17" s="65" t="s">
        <v>742</v>
      </c>
    </row>
    <row r="18" spans="1:11" hidden="1" x14ac:dyDescent="0.25">
      <c r="A18" s="242">
        <v>3</v>
      </c>
      <c r="B18" s="242">
        <v>0.35</v>
      </c>
      <c r="C18" s="66">
        <v>0.55000000000000004</v>
      </c>
      <c r="D18" s="66">
        <v>0.25</v>
      </c>
      <c r="E18" s="242">
        <v>38</v>
      </c>
      <c r="F18" s="242" t="s">
        <v>751</v>
      </c>
      <c r="G18" s="67" t="s">
        <v>760</v>
      </c>
      <c r="H18" s="242">
        <v>19</v>
      </c>
      <c r="I18" s="67" t="s">
        <v>745</v>
      </c>
      <c r="J18" s="67" t="s">
        <v>261</v>
      </c>
      <c r="K18" s="67" t="s">
        <v>746</v>
      </c>
    </row>
    <row r="19" spans="1:11" hidden="1" x14ac:dyDescent="0.25">
      <c r="A19" s="242">
        <v>4</v>
      </c>
      <c r="B19" s="242">
        <v>0.35</v>
      </c>
      <c r="C19" s="66">
        <v>0.55000000000000004</v>
      </c>
      <c r="D19" s="66">
        <v>0.4</v>
      </c>
      <c r="E19" s="242">
        <v>49</v>
      </c>
      <c r="F19" s="242" t="s">
        <v>751</v>
      </c>
      <c r="G19" s="67" t="s">
        <v>760</v>
      </c>
      <c r="H19" s="242">
        <v>19</v>
      </c>
      <c r="I19" s="67" t="s">
        <v>749</v>
      </c>
      <c r="J19" s="67" t="s">
        <v>750</v>
      </c>
      <c r="K19" s="67" t="s">
        <v>749</v>
      </c>
    </row>
    <row r="20" spans="1:11" hidden="1" x14ac:dyDescent="0.25">
      <c r="A20" s="242">
        <v>5</v>
      </c>
      <c r="B20" s="242">
        <v>0.32</v>
      </c>
      <c r="C20" s="66">
        <v>0.55000000000000004</v>
      </c>
      <c r="D20" s="66" t="s">
        <v>747</v>
      </c>
      <c r="E20" s="242">
        <v>49</v>
      </c>
      <c r="F20" s="242" t="s">
        <v>751</v>
      </c>
      <c r="G20" s="67" t="s">
        <v>752</v>
      </c>
      <c r="H20" s="242" t="s">
        <v>753</v>
      </c>
      <c r="I20" s="67" t="s">
        <v>754</v>
      </c>
      <c r="J20" s="67" t="s">
        <v>750</v>
      </c>
      <c r="K20" s="67" t="s">
        <v>754</v>
      </c>
    </row>
    <row r="21" spans="1:11" hidden="1" x14ac:dyDescent="0.25">
      <c r="A21" s="242">
        <v>6</v>
      </c>
      <c r="B21" s="242">
        <v>0.32</v>
      </c>
      <c r="C21" s="66">
        <v>0.55000000000000004</v>
      </c>
      <c r="D21" s="66" t="s">
        <v>747</v>
      </c>
      <c r="E21" s="242">
        <v>49</v>
      </c>
      <c r="F21" s="242" t="s">
        <v>761</v>
      </c>
      <c r="G21" s="67" t="s">
        <v>762</v>
      </c>
      <c r="H21" s="242" t="s">
        <v>753</v>
      </c>
      <c r="I21" s="67" t="s">
        <v>754</v>
      </c>
      <c r="J21" s="67" t="s">
        <v>755</v>
      </c>
      <c r="K21" s="67" t="s">
        <v>754</v>
      </c>
    </row>
    <row r="22" spans="1:11" hidden="1" x14ac:dyDescent="0.25">
      <c r="A22" s="242">
        <v>7</v>
      </c>
      <c r="B22" s="242">
        <v>0.32</v>
      </c>
      <c r="C22" s="66">
        <v>0.55000000000000004</v>
      </c>
      <c r="D22" s="66" t="s">
        <v>747</v>
      </c>
      <c r="E22" s="242">
        <v>49</v>
      </c>
      <c r="F22" s="242" t="s">
        <v>761</v>
      </c>
      <c r="G22" s="67" t="s">
        <v>756</v>
      </c>
      <c r="H22" s="242" t="s">
        <v>763</v>
      </c>
      <c r="I22" s="67" t="s">
        <v>754</v>
      </c>
      <c r="J22" s="67" t="s">
        <v>755</v>
      </c>
      <c r="K22" s="67" t="s">
        <v>754</v>
      </c>
    </row>
    <row r="23" spans="1:11" ht="14.65" hidden="1" customHeight="1" x14ac:dyDescent="0.25">
      <c r="A23" s="277"/>
      <c r="D23" s="288"/>
      <c r="E23" s="288"/>
      <c r="F23" s="288"/>
      <c r="G23" s="288"/>
      <c r="H23" s="288"/>
      <c r="I23" s="289"/>
      <c r="J23" s="289"/>
      <c r="K23" s="290"/>
    </row>
    <row r="24" spans="1:11" hidden="1" x14ac:dyDescent="0.25">
      <c r="A24" s="1738" t="s">
        <v>732</v>
      </c>
      <c r="B24" s="1739"/>
      <c r="C24" s="1739"/>
      <c r="D24" s="1739"/>
      <c r="E24" s="1739"/>
      <c r="F24" s="1739"/>
      <c r="G24" s="1739"/>
      <c r="H24" s="1739"/>
      <c r="I24" s="1739"/>
      <c r="J24" s="1739"/>
      <c r="K24" s="1740"/>
    </row>
    <row r="25" spans="1:11" hidden="1" x14ac:dyDescent="0.25">
      <c r="A25" s="1738"/>
      <c r="B25" s="1739"/>
      <c r="C25" s="1739"/>
      <c r="D25" s="1739"/>
      <c r="E25" s="1739"/>
      <c r="F25" s="1739"/>
      <c r="G25" s="1739"/>
      <c r="H25" s="1739"/>
      <c r="I25" s="1739"/>
      <c r="J25" s="1739"/>
      <c r="K25" s="1740"/>
    </row>
    <row r="26" spans="1:11" ht="45" hidden="1" x14ac:dyDescent="0.25">
      <c r="A26" s="65" t="s">
        <v>627</v>
      </c>
      <c r="B26" s="65" t="s">
        <v>733</v>
      </c>
      <c r="C26" s="65" t="s">
        <v>734</v>
      </c>
      <c r="D26" s="65" t="s">
        <v>735</v>
      </c>
      <c r="E26" s="65" t="s">
        <v>736</v>
      </c>
      <c r="F26" s="65" t="s">
        <v>737</v>
      </c>
      <c r="G26" s="65" t="s">
        <v>738</v>
      </c>
      <c r="H26" s="65" t="s">
        <v>739</v>
      </c>
      <c r="I26" s="65" t="s">
        <v>740</v>
      </c>
      <c r="J26" s="65" t="s">
        <v>741</v>
      </c>
      <c r="K26" s="65" t="s">
        <v>742</v>
      </c>
    </row>
    <row r="27" spans="1:11" hidden="1" x14ac:dyDescent="0.25">
      <c r="A27" s="242">
        <v>3</v>
      </c>
      <c r="B27" s="242" t="s">
        <v>743</v>
      </c>
      <c r="C27" s="66">
        <v>0.65</v>
      </c>
      <c r="D27" s="66">
        <v>0.3</v>
      </c>
      <c r="E27" s="242">
        <v>30</v>
      </c>
      <c r="F27" s="242">
        <v>13</v>
      </c>
      <c r="G27" s="67" t="s">
        <v>744</v>
      </c>
      <c r="H27" s="242">
        <v>19</v>
      </c>
      <c r="I27" s="67" t="s">
        <v>745</v>
      </c>
      <c r="J27" s="67" t="s">
        <v>261</v>
      </c>
      <c r="K27" s="67" t="s">
        <v>746</v>
      </c>
    </row>
    <row r="28" spans="1:11" hidden="1" x14ac:dyDescent="0.25">
      <c r="A28" s="242">
        <v>4</v>
      </c>
      <c r="B28" s="242">
        <v>0.35</v>
      </c>
      <c r="C28" s="66">
        <v>0.6</v>
      </c>
      <c r="D28" s="66" t="s">
        <v>747</v>
      </c>
      <c r="E28" s="242">
        <v>38</v>
      </c>
      <c r="F28" s="242">
        <v>13</v>
      </c>
      <c r="G28" s="67" t="s">
        <v>748</v>
      </c>
      <c r="H28" s="242">
        <v>19</v>
      </c>
      <c r="I28" s="67" t="s">
        <v>749</v>
      </c>
      <c r="J28" s="67" t="s">
        <v>750</v>
      </c>
      <c r="K28" s="67" t="s">
        <v>749</v>
      </c>
    </row>
    <row r="29" spans="1:11" hidden="1" x14ac:dyDescent="0.25">
      <c r="A29" s="242">
        <v>5</v>
      </c>
      <c r="B29" s="242">
        <v>0.35</v>
      </c>
      <c r="C29" s="66">
        <v>0.6</v>
      </c>
      <c r="D29" s="66" t="s">
        <v>747</v>
      </c>
      <c r="E29" s="242">
        <v>38</v>
      </c>
      <c r="F29" s="242" t="s">
        <v>751</v>
      </c>
      <c r="G29" s="67" t="s">
        <v>752</v>
      </c>
      <c r="H29" s="242" t="s">
        <v>753</v>
      </c>
      <c r="I29" s="67" t="s">
        <v>749</v>
      </c>
      <c r="J29" s="67" t="s">
        <v>750</v>
      </c>
      <c r="K29" s="67" t="s">
        <v>749</v>
      </c>
    </row>
    <row r="30" spans="1:11" hidden="1" x14ac:dyDescent="0.25">
      <c r="A30" s="242">
        <v>6</v>
      </c>
      <c r="B30" s="242">
        <v>0.35</v>
      </c>
      <c r="C30" s="66">
        <v>0.6</v>
      </c>
      <c r="D30" s="66" t="s">
        <v>747</v>
      </c>
      <c r="E30" s="242">
        <v>49</v>
      </c>
      <c r="F30" s="242" t="s">
        <v>751</v>
      </c>
      <c r="G30" s="67" t="s">
        <v>754</v>
      </c>
      <c r="H30" s="242" t="s">
        <v>753</v>
      </c>
      <c r="I30" s="67" t="s">
        <v>754</v>
      </c>
      <c r="J30" s="67" t="s">
        <v>755</v>
      </c>
      <c r="K30" s="67" t="s">
        <v>749</v>
      </c>
    </row>
    <row r="31" spans="1:11" hidden="1" x14ac:dyDescent="0.25">
      <c r="A31" s="242">
        <v>7</v>
      </c>
      <c r="B31" s="242">
        <v>0.35</v>
      </c>
      <c r="C31" s="66">
        <v>0.6</v>
      </c>
      <c r="D31" s="66" t="s">
        <v>747</v>
      </c>
      <c r="E31" s="242">
        <v>49</v>
      </c>
      <c r="F31" s="242">
        <v>21</v>
      </c>
      <c r="G31" s="67" t="s">
        <v>756</v>
      </c>
      <c r="H31" s="242" t="s">
        <v>753</v>
      </c>
      <c r="I31" s="67" t="s">
        <v>754</v>
      </c>
      <c r="J31" s="67" t="s">
        <v>755</v>
      </c>
      <c r="K31" s="67" t="s">
        <v>749</v>
      </c>
    </row>
    <row r="32" spans="1:11" hidden="1" x14ac:dyDescent="0.25">
      <c r="A32" s="1606"/>
      <c r="B32" s="1432"/>
      <c r="C32" s="1432"/>
      <c r="D32" s="1432"/>
      <c r="E32" s="1432"/>
      <c r="F32" s="1432"/>
      <c r="G32" s="1432"/>
      <c r="H32" s="1432"/>
      <c r="I32" s="1432"/>
      <c r="J32" s="1432"/>
      <c r="K32" s="760"/>
    </row>
    <row r="33" spans="1:11" x14ac:dyDescent="0.25">
      <c r="A33" s="277"/>
    </row>
    <row r="34" spans="1:11" x14ac:dyDescent="0.25">
      <c r="A34" s="1743" t="s">
        <v>764</v>
      </c>
      <c r="B34" s="1744"/>
      <c r="C34" s="1744"/>
      <c r="D34" s="1744"/>
      <c r="E34" s="1744"/>
      <c r="F34" s="1744"/>
      <c r="G34" s="1744"/>
      <c r="H34" s="1744"/>
      <c r="I34" s="1744"/>
      <c r="J34" s="1744"/>
      <c r="K34" s="1745"/>
    </row>
    <row r="35" spans="1:11" ht="30" customHeight="1" x14ac:dyDescent="0.25">
      <c r="A35" s="600" t="s">
        <v>765</v>
      </c>
      <c r="B35" s="601"/>
      <c r="C35" s="601"/>
      <c r="D35" s="601"/>
      <c r="E35" s="601"/>
      <c r="F35" s="601"/>
      <c r="G35" s="601"/>
      <c r="H35" s="601"/>
      <c r="I35" s="601"/>
      <c r="J35" s="601"/>
      <c r="K35" s="602"/>
    </row>
    <row r="36" spans="1:11" ht="30.75" customHeight="1" x14ac:dyDescent="0.25">
      <c r="A36" s="600" t="s">
        <v>766</v>
      </c>
      <c r="B36" s="601"/>
      <c r="C36" s="601"/>
      <c r="D36" s="601"/>
      <c r="E36" s="601"/>
      <c r="F36" s="601"/>
      <c r="G36" s="601"/>
      <c r="H36" s="601"/>
      <c r="I36" s="601"/>
      <c r="J36" s="601"/>
      <c r="K36" s="602"/>
    </row>
    <row r="37" spans="1:11" ht="45" customHeight="1" x14ac:dyDescent="0.25">
      <c r="A37" s="600" t="s">
        <v>767</v>
      </c>
      <c r="B37" s="601"/>
      <c r="C37" s="601"/>
      <c r="D37" s="601"/>
      <c r="E37" s="601"/>
      <c r="F37" s="601"/>
      <c r="G37" s="601"/>
      <c r="H37" s="601"/>
      <c r="I37" s="601"/>
      <c r="J37" s="601"/>
      <c r="K37" s="602"/>
    </row>
    <row r="38" spans="1:11" ht="30" customHeight="1" x14ac:dyDescent="0.25">
      <c r="A38" s="600" t="s">
        <v>847</v>
      </c>
      <c r="B38" s="601"/>
      <c r="C38" s="601"/>
      <c r="D38" s="601"/>
      <c r="E38" s="601"/>
      <c r="F38" s="601"/>
      <c r="G38" s="601"/>
      <c r="H38" s="601"/>
      <c r="I38" s="601"/>
      <c r="J38" s="601"/>
      <c r="K38" s="602"/>
    </row>
    <row r="39" spans="1:11" ht="16.899999999999999" customHeight="1" x14ac:dyDescent="0.25">
      <c r="A39" s="600" t="s">
        <v>1142</v>
      </c>
      <c r="B39" s="601"/>
      <c r="C39" s="601"/>
      <c r="D39" s="601"/>
      <c r="E39" s="601"/>
      <c r="F39" s="601"/>
      <c r="G39" s="601"/>
      <c r="H39" s="601"/>
      <c r="I39" s="601"/>
      <c r="J39" s="601"/>
      <c r="K39" s="602"/>
    </row>
    <row r="40" spans="1:11" ht="18.600000000000001" customHeight="1" x14ac:dyDescent="0.25">
      <c r="A40" s="1741" t="s">
        <v>1143</v>
      </c>
      <c r="B40" s="1741"/>
      <c r="C40" s="1741"/>
      <c r="D40" s="1741"/>
      <c r="E40" s="1741"/>
      <c r="F40" s="1741"/>
      <c r="G40" s="1741"/>
      <c r="H40" s="1741"/>
      <c r="I40" s="1741"/>
      <c r="J40" s="1741"/>
      <c r="K40" s="1742"/>
    </row>
  </sheetData>
  <sheetProtection algorithmName="SHA-512" hashValue="Yy4NUTqezUdth5hS1ZmNqjJsY21PRfATXbj5Heb3CYQ9zQqKf6o+KRKyMrM6XDDV5uloIweqetGRuD46yis6vA==" saltValue="BG7yFG4nqw7UF50kr1LmjA==" spinCount="100000" sheet="1" objects="1" scenarios="1" formatRows="0" selectLockedCells="1" selectUnlockedCells="1"/>
  <mergeCells count="14">
    <mergeCell ref="A39:K39"/>
    <mergeCell ref="A40:K40"/>
    <mergeCell ref="A34:K34"/>
    <mergeCell ref="A35:K35"/>
    <mergeCell ref="A36:K36"/>
    <mergeCell ref="A37:K37"/>
    <mergeCell ref="A38:K38"/>
    <mergeCell ref="A1:C5"/>
    <mergeCell ref="D1:H5"/>
    <mergeCell ref="I1:K5"/>
    <mergeCell ref="A24:K25"/>
    <mergeCell ref="A32:K32"/>
    <mergeCell ref="A6:K7"/>
    <mergeCell ref="A15:K16"/>
  </mergeCells>
  <printOptions horizontalCentered="1"/>
  <pageMargins left="0.25" right="0.25" top="0.75" bottom="0.75" header="0.3" footer="0.3"/>
  <pageSetup scale="55" orientation="portrait" r:id="rId1"/>
  <headerFooter>
    <oddHeader>&amp;L&amp;F&amp;R&amp;A</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J73"/>
  <sheetViews>
    <sheetView workbookViewId="0">
      <selection activeCell="A13" sqref="A13"/>
    </sheetView>
  </sheetViews>
  <sheetFormatPr defaultColWidth="11.28515625" defaultRowHeight="15" x14ac:dyDescent="0.25"/>
  <cols>
    <col min="1" max="7" width="10.7109375" customWidth="1"/>
    <col min="8" max="10" width="13.7109375" customWidth="1"/>
  </cols>
  <sheetData>
    <row r="1" spans="1:10" ht="12" customHeight="1" x14ac:dyDescent="0.25">
      <c r="A1" s="104"/>
      <c r="B1" s="93"/>
      <c r="C1" s="93"/>
      <c r="D1" s="93"/>
      <c r="E1" s="1432"/>
      <c r="F1" s="1432"/>
      <c r="G1" s="1432"/>
      <c r="H1" s="1747" t="s">
        <v>768</v>
      </c>
      <c r="I1" s="1747"/>
      <c r="J1" s="1748"/>
    </row>
    <row r="2" spans="1:10" ht="12" customHeight="1" x14ac:dyDescent="0.25">
      <c r="A2" s="277"/>
      <c r="E2" s="706"/>
      <c r="F2" s="706"/>
      <c r="G2" s="706"/>
      <c r="H2" s="1749"/>
      <c r="I2" s="1749"/>
      <c r="J2" s="1750"/>
    </row>
    <row r="3" spans="1:10" ht="12" customHeight="1" x14ac:dyDescent="0.25">
      <c r="A3" s="277"/>
      <c r="E3" s="706"/>
      <c r="F3" s="706"/>
      <c r="G3" s="706"/>
      <c r="H3" s="1749"/>
      <c r="I3" s="1749"/>
      <c r="J3" s="1750"/>
    </row>
    <row r="4" spans="1:10" ht="12" customHeight="1" x14ac:dyDescent="0.25">
      <c r="A4" s="277"/>
      <c r="E4" s="706"/>
      <c r="F4" s="706"/>
      <c r="G4" s="706"/>
      <c r="H4" s="1749"/>
      <c r="I4" s="1749"/>
      <c r="J4" s="1750"/>
    </row>
    <row r="5" spans="1:10" ht="13.9" customHeight="1" x14ac:dyDescent="0.25">
      <c r="A5" s="277"/>
      <c r="E5" s="706"/>
      <c r="F5" s="706"/>
      <c r="G5" s="706"/>
      <c r="H5" s="1751">
        <f>VersionNo.</f>
        <v>2024.08</v>
      </c>
      <c r="I5" s="1752"/>
      <c r="J5" s="1753"/>
    </row>
    <row r="6" spans="1:10" ht="13.9" customHeight="1" x14ac:dyDescent="0.25">
      <c r="A6" s="286"/>
      <c r="B6" s="285"/>
      <c r="C6" s="285"/>
      <c r="D6" s="285"/>
      <c r="E6" s="839"/>
      <c r="F6" s="839"/>
      <c r="G6" s="839"/>
      <c r="H6" s="1754"/>
      <c r="I6" s="1754"/>
      <c r="J6" s="1755"/>
    </row>
    <row r="7" spans="1:10" ht="16.350000000000001" customHeight="1" x14ac:dyDescent="0.25">
      <c r="A7" s="68" t="s">
        <v>769</v>
      </c>
      <c r="B7" s="68" t="s">
        <v>770</v>
      </c>
      <c r="C7" s="1756" t="s">
        <v>771</v>
      </c>
      <c r="D7" s="442"/>
      <c r="E7" s="442"/>
      <c r="F7" s="442"/>
      <c r="G7" s="442"/>
      <c r="H7" s="442"/>
      <c r="I7" s="442"/>
      <c r="J7" s="442"/>
    </row>
    <row r="8" spans="1:10" ht="15" customHeight="1" x14ac:dyDescent="0.25">
      <c r="A8" s="69">
        <v>45534</v>
      </c>
      <c r="B8" s="70" t="s">
        <v>1321</v>
      </c>
      <c r="C8" s="1746" t="s">
        <v>1368</v>
      </c>
      <c r="D8" s="1746"/>
      <c r="E8" s="1746"/>
      <c r="F8" s="1746"/>
      <c r="G8" s="1746"/>
      <c r="H8" s="1746"/>
      <c r="I8" s="1746"/>
      <c r="J8" s="1746"/>
    </row>
    <row r="9" spans="1:10" ht="15" customHeight="1" x14ac:dyDescent="0.25">
      <c r="A9" s="69">
        <v>45574</v>
      </c>
      <c r="B9" s="70" t="s">
        <v>1321</v>
      </c>
      <c r="C9" s="1746" t="s">
        <v>1386</v>
      </c>
      <c r="D9" s="1746"/>
      <c r="E9" s="1746"/>
      <c r="F9" s="1746"/>
      <c r="G9" s="1746"/>
      <c r="H9" s="1746"/>
      <c r="I9" s="1746"/>
      <c r="J9" s="1746"/>
    </row>
    <row r="10" spans="1:10" ht="30" customHeight="1" x14ac:dyDescent="0.25">
      <c r="A10" s="69">
        <v>45615</v>
      </c>
      <c r="B10" s="70" t="s">
        <v>1321</v>
      </c>
      <c r="C10" s="1746" t="s">
        <v>1387</v>
      </c>
      <c r="D10" s="1746"/>
      <c r="E10" s="1746"/>
      <c r="F10" s="1746"/>
      <c r="G10" s="1746"/>
      <c r="H10" s="1746"/>
      <c r="I10" s="1746"/>
      <c r="J10" s="1746"/>
    </row>
    <row r="11" spans="1:10" ht="15" customHeight="1" x14ac:dyDescent="0.25">
      <c r="A11" s="69">
        <v>45616</v>
      </c>
      <c r="B11" s="70" t="s">
        <v>1321</v>
      </c>
      <c r="C11" s="1746" t="s">
        <v>1397</v>
      </c>
      <c r="D11" s="1746"/>
      <c r="E11" s="1746"/>
      <c r="F11" s="1746"/>
      <c r="G11" s="1746"/>
      <c r="H11" s="1746"/>
      <c r="I11" s="1746"/>
      <c r="J11" s="1746"/>
    </row>
    <row r="12" spans="1:10" ht="15" customHeight="1" x14ac:dyDescent="0.25">
      <c r="A12" s="69">
        <v>45616</v>
      </c>
      <c r="B12" s="70" t="s">
        <v>1321</v>
      </c>
      <c r="C12" s="1746" t="s">
        <v>1396</v>
      </c>
      <c r="D12" s="1746"/>
      <c r="E12" s="1746"/>
      <c r="F12" s="1746"/>
      <c r="G12" s="1746"/>
      <c r="H12" s="1746"/>
      <c r="I12" s="1746"/>
      <c r="J12" s="1746"/>
    </row>
    <row r="13" spans="1:10" ht="15" customHeight="1" x14ac:dyDescent="0.25">
      <c r="A13" s="69"/>
      <c r="B13" s="70"/>
      <c r="C13" s="1746"/>
      <c r="D13" s="1746"/>
      <c r="E13" s="1746"/>
      <c r="F13" s="1746"/>
      <c r="G13" s="1746"/>
      <c r="H13" s="1746"/>
      <c r="I13" s="1746"/>
      <c r="J13" s="1746"/>
    </row>
    <row r="14" spans="1:10" ht="15" customHeight="1" x14ac:dyDescent="0.25">
      <c r="A14" s="69"/>
      <c r="B14" s="70"/>
      <c r="C14" s="1746"/>
      <c r="D14" s="1746"/>
      <c r="E14" s="1746"/>
      <c r="F14" s="1746"/>
      <c r="G14" s="1746"/>
      <c r="H14" s="1746"/>
      <c r="I14" s="1746"/>
      <c r="J14" s="1746"/>
    </row>
    <row r="15" spans="1:10" ht="15" customHeight="1" x14ac:dyDescent="0.25">
      <c r="A15" s="69"/>
      <c r="B15" s="70"/>
      <c r="C15" s="1746"/>
      <c r="D15" s="1746"/>
      <c r="E15" s="1746"/>
      <c r="F15" s="1746"/>
      <c r="G15" s="1746"/>
      <c r="H15" s="1746"/>
      <c r="I15" s="1746"/>
      <c r="J15" s="1746"/>
    </row>
    <row r="16" spans="1:10" ht="15" customHeight="1" x14ac:dyDescent="0.25">
      <c r="A16" s="69"/>
      <c r="B16" s="70"/>
      <c r="C16" s="1746"/>
      <c r="D16" s="1746"/>
      <c r="E16" s="1746"/>
      <c r="F16" s="1746"/>
      <c r="G16" s="1746"/>
      <c r="H16" s="1746"/>
      <c r="I16" s="1746"/>
      <c r="J16" s="1746"/>
    </row>
    <row r="17" spans="1:10" ht="15" customHeight="1" x14ac:dyDescent="0.25">
      <c r="A17" s="69"/>
      <c r="B17" s="70"/>
      <c r="C17" s="1746"/>
      <c r="D17" s="1746"/>
      <c r="E17" s="1746"/>
      <c r="F17" s="1746"/>
      <c r="G17" s="1746"/>
      <c r="H17" s="1746"/>
      <c r="I17" s="1746"/>
      <c r="J17" s="1746"/>
    </row>
    <row r="18" spans="1:10" ht="15" customHeight="1" x14ac:dyDescent="0.25">
      <c r="A18" s="69"/>
      <c r="B18" s="70"/>
      <c r="C18" s="1746"/>
      <c r="D18" s="1746"/>
      <c r="E18" s="1746"/>
      <c r="F18" s="1746"/>
      <c r="G18" s="1746"/>
      <c r="H18" s="1746"/>
      <c r="I18" s="1746"/>
      <c r="J18" s="1746"/>
    </row>
    <row r="19" spans="1:10" ht="15" customHeight="1" x14ac:dyDescent="0.25">
      <c r="A19" s="69"/>
      <c r="B19" s="70"/>
      <c r="C19" s="1746"/>
      <c r="D19" s="1746"/>
      <c r="E19" s="1746"/>
      <c r="F19" s="1746"/>
      <c r="G19" s="1746"/>
      <c r="H19" s="1746"/>
      <c r="I19" s="1746"/>
      <c r="J19" s="1746"/>
    </row>
    <row r="20" spans="1:10" ht="15" customHeight="1" x14ac:dyDescent="0.25">
      <c r="A20" s="69"/>
      <c r="B20" s="70"/>
      <c r="C20" s="1746"/>
      <c r="D20" s="1746"/>
      <c r="E20" s="1746"/>
      <c r="F20" s="1746"/>
      <c r="G20" s="1746"/>
      <c r="H20" s="1746"/>
      <c r="I20" s="1746"/>
      <c r="J20" s="1746"/>
    </row>
    <row r="21" spans="1:10" ht="15" customHeight="1" x14ac:dyDescent="0.25">
      <c r="A21" s="69"/>
      <c r="B21" s="70"/>
      <c r="C21" s="1746"/>
      <c r="D21" s="1746"/>
      <c r="E21" s="1746"/>
      <c r="F21" s="1746"/>
      <c r="G21" s="1746"/>
      <c r="H21" s="1746"/>
      <c r="I21" s="1746"/>
      <c r="J21" s="1746"/>
    </row>
    <row r="22" spans="1:10" ht="15" customHeight="1" x14ac:dyDescent="0.25">
      <c r="A22" s="69"/>
      <c r="B22" s="70"/>
      <c r="C22" s="1746"/>
      <c r="D22" s="1746"/>
      <c r="E22" s="1746"/>
      <c r="F22" s="1746"/>
      <c r="G22" s="1746"/>
      <c r="H22" s="1746"/>
      <c r="I22" s="1746"/>
      <c r="J22" s="1746"/>
    </row>
    <row r="23" spans="1:10" ht="15" customHeight="1" x14ac:dyDescent="0.25">
      <c r="A23" s="69"/>
      <c r="B23" s="70"/>
      <c r="C23" s="1746"/>
      <c r="D23" s="1746"/>
      <c r="E23" s="1746"/>
      <c r="F23" s="1746"/>
      <c r="G23" s="1746"/>
      <c r="H23" s="1746"/>
      <c r="I23" s="1746"/>
      <c r="J23" s="1746"/>
    </row>
    <row r="24" spans="1:10" ht="15" customHeight="1" x14ac:dyDescent="0.25">
      <c r="A24" s="69"/>
      <c r="B24" s="70"/>
      <c r="C24" s="1746"/>
      <c r="D24" s="1746"/>
      <c r="E24" s="1746"/>
      <c r="F24" s="1746"/>
      <c r="G24" s="1746"/>
      <c r="H24" s="1746"/>
      <c r="I24" s="1746"/>
      <c r="J24" s="1746"/>
    </row>
    <row r="25" spans="1:10" ht="15" customHeight="1" x14ac:dyDescent="0.25">
      <c r="A25" s="69"/>
      <c r="B25" s="70"/>
      <c r="C25" s="1746"/>
      <c r="D25" s="1746"/>
      <c r="E25" s="1746"/>
      <c r="F25" s="1746"/>
      <c r="G25" s="1746"/>
      <c r="H25" s="1746"/>
      <c r="I25" s="1746"/>
      <c r="J25" s="1746"/>
    </row>
    <row r="26" spans="1:10" ht="15" customHeight="1" x14ac:dyDescent="0.25">
      <c r="A26" s="69"/>
      <c r="B26" s="70"/>
      <c r="C26" s="1746"/>
      <c r="D26" s="1746"/>
      <c r="E26" s="1746"/>
      <c r="F26" s="1746"/>
      <c r="G26" s="1746"/>
      <c r="H26" s="1746"/>
      <c r="I26" s="1746"/>
      <c r="J26" s="1746"/>
    </row>
    <row r="27" spans="1:10" ht="15" customHeight="1" x14ac:dyDescent="0.25">
      <c r="A27" s="69"/>
      <c r="B27" s="70"/>
      <c r="C27" s="1746"/>
      <c r="D27" s="1746"/>
      <c r="E27" s="1746"/>
      <c r="F27" s="1746"/>
      <c r="G27" s="1746"/>
      <c r="H27" s="1746"/>
      <c r="I27" s="1746"/>
      <c r="J27" s="1746"/>
    </row>
    <row r="28" spans="1:10" ht="15" customHeight="1" x14ac:dyDescent="0.25">
      <c r="A28" s="69"/>
      <c r="B28" s="70"/>
      <c r="C28" s="1746"/>
      <c r="D28" s="1746"/>
      <c r="E28" s="1746"/>
      <c r="F28" s="1746"/>
      <c r="G28" s="1746"/>
      <c r="H28" s="1746"/>
      <c r="I28" s="1746"/>
      <c r="J28" s="1746"/>
    </row>
    <row r="29" spans="1:10" ht="15" customHeight="1" x14ac:dyDescent="0.25">
      <c r="A29" s="69"/>
      <c r="B29" s="70"/>
      <c r="C29" s="1746"/>
      <c r="D29" s="1746"/>
      <c r="E29" s="1746"/>
      <c r="F29" s="1746"/>
      <c r="G29" s="1746"/>
      <c r="H29" s="1746"/>
      <c r="I29" s="1746"/>
      <c r="J29" s="1746"/>
    </row>
    <row r="30" spans="1:10" ht="15" customHeight="1" x14ac:dyDescent="0.25">
      <c r="A30" s="69"/>
      <c r="B30" s="70"/>
      <c r="C30" s="1746"/>
      <c r="D30" s="1746"/>
      <c r="E30" s="1746"/>
      <c r="F30" s="1746"/>
      <c r="G30" s="1746"/>
      <c r="H30" s="1746"/>
      <c r="I30" s="1746"/>
      <c r="J30" s="1746"/>
    </row>
    <row r="31" spans="1:10" ht="15" customHeight="1" x14ac:dyDescent="0.25">
      <c r="A31" s="69"/>
      <c r="B31" s="70"/>
      <c r="C31" s="1746"/>
      <c r="D31" s="1746"/>
      <c r="E31" s="1746"/>
      <c r="F31" s="1746"/>
      <c r="G31" s="1746"/>
      <c r="H31" s="1746"/>
      <c r="I31" s="1746"/>
      <c r="J31" s="1746"/>
    </row>
    <row r="32" spans="1:10" ht="15" customHeight="1" x14ac:dyDescent="0.25">
      <c r="A32" s="69"/>
      <c r="B32" s="70"/>
      <c r="C32" s="1746"/>
      <c r="D32" s="1746"/>
      <c r="E32" s="1746"/>
      <c r="F32" s="1746"/>
      <c r="G32" s="1746"/>
      <c r="H32" s="1746"/>
      <c r="I32" s="1746"/>
      <c r="J32" s="1746"/>
    </row>
    <row r="33" spans="1:10" ht="15" customHeight="1" x14ac:dyDescent="0.25">
      <c r="A33" s="69"/>
      <c r="B33" s="70"/>
      <c r="C33" s="1746"/>
      <c r="D33" s="1746"/>
      <c r="E33" s="1746"/>
      <c r="F33" s="1746"/>
      <c r="G33" s="1746"/>
      <c r="H33" s="1746"/>
      <c r="I33" s="1746"/>
      <c r="J33" s="1746"/>
    </row>
    <row r="34" spans="1:10" ht="15" customHeight="1" x14ac:dyDescent="0.25">
      <c r="A34" s="69"/>
      <c r="B34" s="70"/>
      <c r="C34" s="1746"/>
      <c r="D34" s="1746"/>
      <c r="E34" s="1746"/>
      <c r="F34" s="1746"/>
      <c r="G34" s="1746"/>
      <c r="H34" s="1746"/>
      <c r="I34" s="1746"/>
      <c r="J34" s="1746"/>
    </row>
    <row r="35" spans="1:10" ht="15" customHeight="1" x14ac:dyDescent="0.25">
      <c r="A35" s="69"/>
      <c r="B35" s="70"/>
      <c r="C35" s="1746"/>
      <c r="D35" s="1746"/>
      <c r="E35" s="1746"/>
      <c r="F35" s="1746"/>
      <c r="G35" s="1746"/>
      <c r="H35" s="1746"/>
      <c r="I35" s="1746"/>
      <c r="J35" s="1746"/>
    </row>
    <row r="36" spans="1:10" ht="15" customHeight="1" x14ac:dyDescent="0.25">
      <c r="A36" s="69"/>
      <c r="B36" s="70"/>
      <c r="C36" s="1746"/>
      <c r="D36" s="1746"/>
      <c r="E36" s="1746"/>
      <c r="F36" s="1746"/>
      <c r="G36" s="1746"/>
      <c r="H36" s="1746"/>
      <c r="I36" s="1746"/>
      <c r="J36" s="1746"/>
    </row>
    <row r="37" spans="1:10" ht="15" customHeight="1" x14ac:dyDescent="0.25">
      <c r="A37" s="69"/>
      <c r="B37" s="70"/>
      <c r="C37" s="1746"/>
      <c r="D37" s="1746"/>
      <c r="E37" s="1746"/>
      <c r="F37" s="1746"/>
      <c r="G37" s="1746"/>
      <c r="H37" s="1746"/>
      <c r="I37" s="1746"/>
      <c r="J37" s="1746"/>
    </row>
    <row r="38" spans="1:10" ht="15" customHeight="1" x14ac:dyDescent="0.25">
      <c r="A38" s="69"/>
      <c r="B38" s="70"/>
      <c r="C38" s="1746"/>
      <c r="D38" s="1746"/>
      <c r="E38" s="1746"/>
      <c r="F38" s="1746"/>
      <c r="G38" s="1746"/>
      <c r="H38" s="1746"/>
      <c r="I38" s="1746"/>
      <c r="J38" s="1746"/>
    </row>
    <row r="39" spans="1:10" ht="15" customHeight="1" x14ac:dyDescent="0.25">
      <c r="A39" s="69"/>
      <c r="B39" s="70"/>
      <c r="C39" s="1746"/>
      <c r="D39" s="1746"/>
      <c r="E39" s="1746"/>
      <c r="F39" s="1746"/>
      <c r="G39" s="1746"/>
      <c r="H39" s="1746"/>
      <c r="I39" s="1746"/>
      <c r="J39" s="1746"/>
    </row>
    <row r="40" spans="1:10" ht="15" customHeight="1" x14ac:dyDescent="0.25">
      <c r="A40" s="69"/>
      <c r="B40" s="70"/>
      <c r="C40" s="1746"/>
      <c r="D40" s="1746"/>
      <c r="E40" s="1746"/>
      <c r="F40" s="1746"/>
      <c r="G40" s="1746"/>
      <c r="H40" s="1746"/>
      <c r="I40" s="1746"/>
      <c r="J40" s="1746"/>
    </row>
    <row r="41" spans="1:10" ht="15" customHeight="1" x14ac:dyDescent="0.25">
      <c r="A41" s="69"/>
      <c r="B41" s="70"/>
      <c r="C41" s="1746"/>
      <c r="D41" s="1746"/>
      <c r="E41" s="1746"/>
      <c r="F41" s="1746"/>
      <c r="G41" s="1746"/>
      <c r="H41" s="1746"/>
      <c r="I41" s="1746"/>
      <c r="J41" s="1746"/>
    </row>
    <row r="42" spans="1:10" ht="15" customHeight="1" x14ac:dyDescent="0.25">
      <c r="A42" s="69"/>
      <c r="B42" s="70"/>
      <c r="C42" s="1746"/>
      <c r="D42" s="1746"/>
      <c r="E42" s="1746"/>
      <c r="F42" s="1746"/>
      <c r="G42" s="1746"/>
      <c r="H42" s="1746"/>
      <c r="I42" s="1746"/>
      <c r="J42" s="1746"/>
    </row>
    <row r="43" spans="1:10" ht="15" customHeight="1" x14ac:dyDescent="0.25">
      <c r="A43" s="69"/>
      <c r="B43" s="70"/>
      <c r="C43" s="1746"/>
      <c r="D43" s="1746"/>
      <c r="E43" s="1746"/>
      <c r="F43" s="1746"/>
      <c r="G43" s="1746"/>
      <c r="H43" s="1746"/>
      <c r="I43" s="1746"/>
      <c r="J43" s="1746"/>
    </row>
    <row r="44" spans="1:10" ht="15" customHeight="1" x14ac:dyDescent="0.25">
      <c r="A44" s="69"/>
      <c r="B44" s="70"/>
      <c r="C44" s="1746"/>
      <c r="D44" s="1746"/>
      <c r="E44" s="1746"/>
      <c r="F44" s="1746"/>
      <c r="G44" s="1746"/>
      <c r="H44" s="1746"/>
      <c r="I44" s="1746"/>
      <c r="J44" s="1746"/>
    </row>
    <row r="45" spans="1:10" ht="15" customHeight="1" x14ac:dyDescent="0.25">
      <c r="A45" s="69"/>
      <c r="B45" s="70"/>
      <c r="C45" s="1746"/>
      <c r="D45" s="1746"/>
      <c r="E45" s="1746"/>
      <c r="F45" s="1746"/>
      <c r="G45" s="1746"/>
      <c r="H45" s="1746"/>
      <c r="I45" s="1746"/>
      <c r="J45" s="1746"/>
    </row>
    <row r="46" spans="1:10" ht="15" customHeight="1" x14ac:dyDescent="0.25">
      <c r="A46" s="69"/>
      <c r="B46" s="70"/>
      <c r="C46" s="1746"/>
      <c r="D46" s="1746"/>
      <c r="E46" s="1746"/>
      <c r="F46" s="1746"/>
      <c r="G46" s="1746"/>
      <c r="H46" s="1746"/>
      <c r="I46" s="1746"/>
      <c r="J46" s="1746"/>
    </row>
    <row r="47" spans="1:10" ht="15" customHeight="1" x14ac:dyDescent="0.25">
      <c r="A47" s="69"/>
      <c r="B47" s="70"/>
      <c r="C47" s="1746"/>
      <c r="D47" s="1746"/>
      <c r="E47" s="1746"/>
      <c r="F47" s="1746"/>
      <c r="G47" s="1746"/>
      <c r="H47" s="1746"/>
      <c r="I47" s="1746"/>
      <c r="J47" s="1746"/>
    </row>
    <row r="48" spans="1:10" ht="15" customHeight="1" x14ac:dyDescent="0.25">
      <c r="A48" s="69"/>
      <c r="B48" s="70"/>
      <c r="C48" s="1746"/>
      <c r="D48" s="1746"/>
      <c r="E48" s="1746"/>
      <c r="F48" s="1746"/>
      <c r="G48" s="1746"/>
      <c r="H48" s="1746"/>
      <c r="I48" s="1746"/>
      <c r="J48" s="1746"/>
    </row>
    <row r="49" spans="1:10" ht="15" customHeight="1" x14ac:dyDescent="0.25">
      <c r="A49" s="69"/>
      <c r="B49" s="70"/>
      <c r="C49" s="1746"/>
      <c r="D49" s="1746"/>
      <c r="E49" s="1746"/>
      <c r="F49" s="1746"/>
      <c r="G49" s="1746"/>
      <c r="H49" s="1746"/>
      <c r="I49" s="1746"/>
      <c r="J49" s="1746"/>
    </row>
    <row r="50" spans="1:10" ht="15" customHeight="1" x14ac:dyDescent="0.25">
      <c r="A50" s="69"/>
      <c r="B50" s="70"/>
      <c r="C50" s="1746"/>
      <c r="D50" s="1746"/>
      <c r="E50" s="1746"/>
      <c r="F50" s="1746"/>
      <c r="G50" s="1746"/>
      <c r="H50" s="1746"/>
      <c r="I50" s="1746"/>
      <c r="J50" s="1746"/>
    </row>
    <row r="51" spans="1:10" ht="15" customHeight="1" x14ac:dyDescent="0.25">
      <c r="A51" s="69"/>
      <c r="B51" s="70"/>
      <c r="C51" s="1746"/>
      <c r="D51" s="1746"/>
      <c r="E51" s="1746"/>
      <c r="F51" s="1746"/>
      <c r="G51" s="1746"/>
      <c r="H51" s="1746"/>
      <c r="I51" s="1746"/>
      <c r="J51" s="1746"/>
    </row>
    <row r="52" spans="1:10" ht="15" customHeight="1" x14ac:dyDescent="0.25">
      <c r="A52" s="69"/>
      <c r="B52" s="70"/>
      <c r="C52" s="1746"/>
      <c r="D52" s="1746"/>
      <c r="E52" s="1746"/>
      <c r="F52" s="1746"/>
      <c r="G52" s="1746"/>
      <c r="H52" s="1746"/>
      <c r="I52" s="1746"/>
      <c r="J52" s="1746"/>
    </row>
    <row r="53" spans="1:10" ht="15" customHeight="1" x14ac:dyDescent="0.25"/>
    <row r="54" spans="1:10" ht="15" customHeight="1" x14ac:dyDescent="0.25"/>
    <row r="55" spans="1:10" ht="15" customHeight="1" x14ac:dyDescent="0.25"/>
    <row r="56" spans="1:10" ht="15" customHeight="1" x14ac:dyDescent="0.25"/>
    <row r="57" spans="1:10" ht="15" customHeight="1" x14ac:dyDescent="0.25"/>
    <row r="58" spans="1:10" ht="15" customHeight="1" x14ac:dyDescent="0.25"/>
    <row r="59" spans="1:10" ht="15" customHeight="1" x14ac:dyDescent="0.25"/>
    <row r="60" spans="1:10" ht="15" customHeight="1" x14ac:dyDescent="0.25"/>
    <row r="61" spans="1:10" ht="15" customHeight="1" x14ac:dyDescent="0.25"/>
    <row r="62" spans="1:10" ht="15" customHeight="1" x14ac:dyDescent="0.25"/>
    <row r="63" spans="1:10" ht="15" customHeight="1" x14ac:dyDescent="0.25"/>
    <row r="64" spans="1:10"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sheetData>
  <sheetProtection algorithmName="SHA-512" hashValue="KMgeM9f4+AssmXGMO/JxFs6M3EsnhCA7Jr0ZzLEKThF2ls5VyuwynGn9dA4m1Zzj9bkJB1YLU67Mf+nbuR/Ktw==" saltValue="h6Bk+h6qgIL/gzdxsOC42Q==" spinCount="100000" sheet="1" objects="1" scenarios="1" formatRows="0" selectLockedCells="1"/>
  <mergeCells count="49">
    <mergeCell ref="C9:J9"/>
    <mergeCell ref="E1:G6"/>
    <mergeCell ref="H1:J4"/>
    <mergeCell ref="H5:J6"/>
    <mergeCell ref="C7:J7"/>
    <mergeCell ref="C8:J8"/>
    <mergeCell ref="C21:J21"/>
    <mergeCell ref="C10:J10"/>
    <mergeCell ref="C11:J11"/>
    <mergeCell ref="C12:J12"/>
    <mergeCell ref="C13:J13"/>
    <mergeCell ref="C14:J14"/>
    <mergeCell ref="C15:J15"/>
    <mergeCell ref="C16:J16"/>
    <mergeCell ref="C17:J17"/>
    <mergeCell ref="C18:J18"/>
    <mergeCell ref="C19:J19"/>
    <mergeCell ref="C20:J20"/>
    <mergeCell ref="C33:J33"/>
    <mergeCell ref="C22:J22"/>
    <mergeCell ref="C23:J23"/>
    <mergeCell ref="C24:J24"/>
    <mergeCell ref="C25:J25"/>
    <mergeCell ref="C26:J26"/>
    <mergeCell ref="C27:J27"/>
    <mergeCell ref="C28:J28"/>
    <mergeCell ref="C29:J29"/>
    <mergeCell ref="C30:J30"/>
    <mergeCell ref="C31:J31"/>
    <mergeCell ref="C32:J32"/>
    <mergeCell ref="C45:J45"/>
    <mergeCell ref="C34:J34"/>
    <mergeCell ref="C35:J35"/>
    <mergeCell ref="C36:J36"/>
    <mergeCell ref="C37:J37"/>
    <mergeCell ref="C38:J38"/>
    <mergeCell ref="C39:J39"/>
    <mergeCell ref="C40:J40"/>
    <mergeCell ref="C41:J41"/>
    <mergeCell ref="C42:J42"/>
    <mergeCell ref="C43:J43"/>
    <mergeCell ref="C44:J44"/>
    <mergeCell ref="C52:J52"/>
    <mergeCell ref="C46:J46"/>
    <mergeCell ref="C47:J47"/>
    <mergeCell ref="C48:J48"/>
    <mergeCell ref="C49:J49"/>
    <mergeCell ref="C50:J50"/>
    <mergeCell ref="C51:J51"/>
  </mergeCells>
  <printOptions horizontalCentered="1"/>
  <pageMargins left="0.25" right="0.25" top="0.75" bottom="0.75" header="0.3" footer="0.3"/>
  <pageSetup scale="63" orientation="portrait" r:id="rId1"/>
  <headerFooter>
    <oddHeader>&amp;L&amp;F&amp;R&amp;A</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C000"/>
  </sheetPr>
  <dimension ref="A1:Y203"/>
  <sheetViews>
    <sheetView view="pageBreakPreview" zoomScaleNormal="119" zoomScaleSheetLayoutView="100" workbookViewId="0">
      <selection activeCell="E87" sqref="E87"/>
    </sheetView>
  </sheetViews>
  <sheetFormatPr defaultColWidth="8.7109375" defaultRowHeight="15" x14ac:dyDescent="0.25"/>
  <cols>
    <col min="1" max="54" width="26.7109375" customWidth="1"/>
  </cols>
  <sheetData>
    <row r="1" spans="1:25" x14ac:dyDescent="0.25">
      <c r="A1" s="1" t="s">
        <v>9</v>
      </c>
      <c r="B1" s="1" t="s">
        <v>10</v>
      </c>
      <c r="C1" s="1" t="s">
        <v>11</v>
      </c>
      <c r="D1" s="1" t="s">
        <v>12</v>
      </c>
      <c r="E1" s="1" t="s">
        <v>13</v>
      </c>
    </row>
    <row r="2" spans="1:25" x14ac:dyDescent="0.25">
      <c r="A2" s="2"/>
      <c r="B2" s="2"/>
      <c r="C2" s="2"/>
      <c r="D2" s="2"/>
      <c r="E2" s="2"/>
    </row>
    <row r="3" spans="1:25" x14ac:dyDescent="0.25">
      <c r="A3" t="s">
        <v>16</v>
      </c>
      <c r="B3" s="5" t="s">
        <v>16</v>
      </c>
      <c r="C3" s="5">
        <v>0</v>
      </c>
      <c r="D3" s="5">
        <v>0</v>
      </c>
      <c r="E3" s="5">
        <v>0</v>
      </c>
    </row>
    <row r="4" spans="1:25" x14ac:dyDescent="0.25">
      <c r="A4" s="4" t="s">
        <v>17</v>
      </c>
      <c r="B4" s="5" t="s">
        <v>18</v>
      </c>
      <c r="C4" s="4">
        <v>0.5</v>
      </c>
      <c r="D4" s="4">
        <v>1</v>
      </c>
      <c r="E4" s="4">
        <v>2</v>
      </c>
    </row>
    <row r="5" spans="1:25" x14ac:dyDescent="0.25">
      <c r="A5" s="7"/>
      <c r="B5" s="4" t="s">
        <v>17</v>
      </c>
    </row>
    <row r="6" spans="1:25" x14ac:dyDescent="0.25">
      <c r="A6" s="8"/>
      <c r="B6" s="7"/>
      <c r="C6" s="8"/>
      <c r="D6" s="8"/>
      <c r="E6" s="8"/>
    </row>
    <row r="7" spans="1:25" x14ac:dyDescent="0.25">
      <c r="A7" s="1" t="s">
        <v>14</v>
      </c>
      <c r="B7" s="1" t="s">
        <v>15</v>
      </c>
      <c r="C7" s="1" t="s">
        <v>19</v>
      </c>
      <c r="D7" s="1" t="s">
        <v>20</v>
      </c>
      <c r="E7" s="1" t="s">
        <v>21</v>
      </c>
      <c r="F7" s="8"/>
      <c r="G7" s="8"/>
      <c r="H7" s="8"/>
      <c r="I7" s="8"/>
      <c r="J7" s="8"/>
      <c r="V7" s="7" t="s">
        <v>44</v>
      </c>
      <c r="X7" s="8"/>
      <c r="Y7" s="8"/>
    </row>
    <row r="8" spans="1:25" x14ac:dyDescent="0.25">
      <c r="A8" s="2"/>
      <c r="B8" s="2"/>
      <c r="C8" s="2"/>
      <c r="D8" s="2"/>
      <c r="E8" s="2"/>
      <c r="F8" s="8"/>
      <c r="G8" s="8"/>
      <c r="H8" s="8"/>
      <c r="I8" s="8"/>
      <c r="J8" s="8"/>
      <c r="V8" s="7"/>
      <c r="X8" s="8"/>
      <c r="Y8" s="8"/>
    </row>
    <row r="9" spans="1:25" x14ac:dyDescent="0.25">
      <c r="A9" s="5">
        <v>0</v>
      </c>
      <c r="B9" s="5">
        <v>0</v>
      </c>
      <c r="C9" t="s">
        <v>16</v>
      </c>
      <c r="D9" s="6" t="s">
        <v>1234</v>
      </c>
      <c r="E9" s="5" t="s">
        <v>18</v>
      </c>
      <c r="F9" s="8"/>
      <c r="G9" s="8"/>
      <c r="H9" s="8"/>
      <c r="I9" s="8"/>
      <c r="J9" s="8"/>
      <c r="X9" s="8"/>
      <c r="Y9" s="8"/>
    </row>
    <row r="10" spans="1:25" x14ac:dyDescent="0.25">
      <c r="A10" s="5">
        <v>1</v>
      </c>
      <c r="B10" s="4">
        <v>3</v>
      </c>
      <c r="C10" s="4" t="s">
        <v>1295</v>
      </c>
      <c r="D10" s="6" t="s">
        <v>16</v>
      </c>
      <c r="E10" s="4" t="s">
        <v>26</v>
      </c>
      <c r="H10" s="8"/>
      <c r="I10" s="8"/>
      <c r="J10" s="8"/>
      <c r="V10" s="8"/>
      <c r="X10" s="8"/>
      <c r="Y10" s="8"/>
    </row>
    <row r="11" spans="1:25" x14ac:dyDescent="0.25">
      <c r="A11" s="4">
        <v>2</v>
      </c>
      <c r="C11" s="7"/>
      <c r="D11" s="215" t="s">
        <v>1295</v>
      </c>
      <c r="H11" s="8"/>
      <c r="I11" s="8"/>
      <c r="J11" s="8"/>
    </row>
    <row r="12" spans="1:25" x14ac:dyDescent="0.25">
      <c r="B12" s="8"/>
      <c r="C12" s="8"/>
      <c r="D12" s="8"/>
      <c r="E12" s="8"/>
      <c r="H12" s="8"/>
      <c r="I12" s="8"/>
      <c r="J12" s="8"/>
    </row>
    <row r="13" spans="1:25" x14ac:dyDescent="0.25">
      <c r="A13" s="1" t="s">
        <v>22</v>
      </c>
      <c r="B13" s="1" t="s">
        <v>23</v>
      </c>
      <c r="C13" s="1" t="s">
        <v>24</v>
      </c>
      <c r="D13" s="1" t="s">
        <v>25</v>
      </c>
      <c r="E13" s="1" t="s">
        <v>27</v>
      </c>
      <c r="H13" s="8"/>
      <c r="I13" s="8"/>
      <c r="J13" s="8"/>
    </row>
    <row r="14" spans="1:25" x14ac:dyDescent="0.25">
      <c r="A14" s="3"/>
      <c r="B14" s="83"/>
      <c r="C14" s="3"/>
      <c r="D14" s="2"/>
      <c r="E14" s="2"/>
      <c r="H14" s="8"/>
      <c r="J14" s="8"/>
    </row>
    <row r="15" spans="1:25" x14ac:dyDescent="0.25">
      <c r="A15" s="6">
        <v>0</v>
      </c>
      <c r="B15" s="5">
        <v>0</v>
      </c>
      <c r="C15" s="6">
        <v>0</v>
      </c>
      <c r="D15" s="5">
        <v>0</v>
      </c>
      <c r="E15" s="5" t="s">
        <v>1295</v>
      </c>
    </row>
    <row r="16" spans="1:25" x14ac:dyDescent="0.25">
      <c r="A16" s="215">
        <v>4</v>
      </c>
      <c r="B16" s="5">
        <v>0.5</v>
      </c>
      <c r="C16" s="6">
        <v>0.5</v>
      </c>
      <c r="D16" s="5">
        <v>0.5</v>
      </c>
      <c r="E16" s="4" t="s">
        <v>18</v>
      </c>
      <c r="H16" s="8"/>
      <c r="I16" s="8"/>
      <c r="J16" s="8"/>
      <c r="K16" s="8"/>
      <c r="L16" s="8"/>
      <c r="M16" s="8"/>
      <c r="P16" s="8"/>
      <c r="Q16" s="8"/>
      <c r="R16" s="8"/>
      <c r="S16" s="8"/>
      <c r="T16" s="8"/>
    </row>
    <row r="17" spans="1:13" x14ac:dyDescent="0.25">
      <c r="A17" s="8"/>
      <c r="B17" s="5">
        <v>1</v>
      </c>
      <c r="C17" s="6">
        <v>1</v>
      </c>
      <c r="D17" s="5">
        <v>1</v>
      </c>
      <c r="E17" s="8"/>
      <c r="H17" s="8"/>
      <c r="I17" s="8"/>
      <c r="J17" s="8"/>
      <c r="K17" s="8"/>
      <c r="L17" s="8"/>
      <c r="M17" s="8"/>
    </row>
    <row r="18" spans="1:13" x14ac:dyDescent="0.25">
      <c r="A18" s="8"/>
      <c r="B18" s="5">
        <v>1.5</v>
      </c>
      <c r="C18" s="6">
        <v>1.5</v>
      </c>
      <c r="D18" s="5">
        <v>1.5</v>
      </c>
      <c r="E18" s="8"/>
      <c r="H18" s="8"/>
      <c r="I18" s="8"/>
      <c r="J18" s="8"/>
      <c r="K18" s="8"/>
      <c r="L18" s="8"/>
      <c r="M18" s="8"/>
    </row>
    <row r="19" spans="1:13" x14ac:dyDescent="0.25">
      <c r="A19" s="8"/>
      <c r="B19" s="5">
        <v>2</v>
      </c>
      <c r="C19" s="215">
        <v>2</v>
      </c>
      <c r="D19" s="5">
        <v>2</v>
      </c>
      <c r="H19" s="8"/>
      <c r="I19" s="8"/>
      <c r="J19" s="8"/>
      <c r="K19" s="8"/>
      <c r="L19" s="8"/>
      <c r="M19" s="8"/>
    </row>
    <row r="20" spans="1:13" x14ac:dyDescent="0.25">
      <c r="A20" s="8"/>
      <c r="B20" s="5">
        <v>2.5</v>
      </c>
      <c r="C20" s="8"/>
      <c r="D20" s="5">
        <v>2.5</v>
      </c>
      <c r="H20" s="8"/>
      <c r="I20" s="8"/>
      <c r="J20" s="8"/>
      <c r="K20" s="8"/>
      <c r="L20" s="8"/>
      <c r="M20" s="8"/>
    </row>
    <row r="21" spans="1:13" x14ac:dyDescent="0.25">
      <c r="A21" s="8"/>
      <c r="B21" s="5">
        <v>3</v>
      </c>
      <c r="C21" s="8"/>
      <c r="D21" s="5">
        <v>3</v>
      </c>
      <c r="H21" s="8"/>
      <c r="I21" s="8"/>
      <c r="J21" s="8"/>
      <c r="K21" s="8"/>
      <c r="L21" s="8"/>
      <c r="M21" s="8"/>
    </row>
    <row r="22" spans="1:13" x14ac:dyDescent="0.25">
      <c r="A22" s="8"/>
      <c r="B22" s="5">
        <v>3.5</v>
      </c>
      <c r="C22" s="8"/>
      <c r="D22" s="5">
        <v>3.5</v>
      </c>
    </row>
    <row r="23" spans="1:13" x14ac:dyDescent="0.25">
      <c r="A23" s="8"/>
      <c r="B23" s="5">
        <v>4</v>
      </c>
      <c r="C23" s="8"/>
      <c r="D23" s="5">
        <v>4</v>
      </c>
    </row>
    <row r="24" spans="1:13" x14ac:dyDescent="0.25">
      <c r="A24" s="8"/>
      <c r="B24" s="5">
        <v>4.5</v>
      </c>
      <c r="C24" s="8"/>
      <c r="D24" s="4">
        <v>4.5</v>
      </c>
    </row>
    <row r="25" spans="1:13" x14ac:dyDescent="0.25">
      <c r="A25" s="8"/>
      <c r="B25" s="4">
        <v>5</v>
      </c>
      <c r="C25" s="8"/>
      <c r="D25" s="8"/>
    </row>
    <row r="27" spans="1:13" x14ac:dyDescent="0.25">
      <c r="A27" s="1" t="s">
        <v>28</v>
      </c>
      <c r="B27" s="1" t="s">
        <v>29</v>
      </c>
      <c r="C27" s="1" t="s">
        <v>30</v>
      </c>
      <c r="D27" s="1" t="s">
        <v>31</v>
      </c>
      <c r="E27" s="1" t="s">
        <v>32</v>
      </c>
    </row>
    <row r="28" spans="1:13" x14ac:dyDescent="0.25">
      <c r="A28" s="3"/>
      <c r="B28" s="2"/>
      <c r="C28" s="2"/>
      <c r="D28" s="3"/>
      <c r="E28" s="2"/>
    </row>
    <row r="29" spans="1:13" x14ac:dyDescent="0.25">
      <c r="A29" s="215" t="s">
        <v>34</v>
      </c>
      <c r="B29" s="5">
        <v>1</v>
      </c>
      <c r="C29" s="4" t="s">
        <v>35</v>
      </c>
      <c r="D29" s="215" t="s">
        <v>36</v>
      </c>
      <c r="E29" s="5">
        <v>0</v>
      </c>
    </row>
    <row r="30" spans="1:13" x14ac:dyDescent="0.25">
      <c r="A30" s="8"/>
      <c r="B30" s="5">
        <v>2</v>
      </c>
      <c r="C30" s="8"/>
      <c r="D30" s="8"/>
      <c r="E30" s="5">
        <v>0.5</v>
      </c>
    </row>
    <row r="31" spans="1:13" x14ac:dyDescent="0.25">
      <c r="A31" s="8"/>
      <c r="B31" s="5">
        <v>3</v>
      </c>
      <c r="C31" s="8"/>
      <c r="D31" s="8"/>
      <c r="E31" s="4">
        <v>1</v>
      </c>
    </row>
    <row r="32" spans="1:13" x14ac:dyDescent="0.25">
      <c r="A32" s="8"/>
      <c r="B32" s="4">
        <v>4</v>
      </c>
      <c r="C32" s="8"/>
      <c r="D32" s="8"/>
      <c r="E32" s="8"/>
    </row>
    <row r="34" spans="1:5" x14ac:dyDescent="0.25">
      <c r="A34" s="1" t="s">
        <v>33</v>
      </c>
      <c r="B34" s="1" t="s">
        <v>37</v>
      </c>
      <c r="C34" s="1" t="s">
        <v>38</v>
      </c>
      <c r="D34" s="1" t="s">
        <v>39</v>
      </c>
      <c r="E34" s="1" t="s">
        <v>40</v>
      </c>
    </row>
    <row r="35" spans="1:5" x14ac:dyDescent="0.25">
      <c r="A35" s="2"/>
      <c r="B35" s="2"/>
      <c r="C35" s="2"/>
      <c r="D35" s="2"/>
      <c r="E35" s="2"/>
    </row>
    <row r="36" spans="1:5" x14ac:dyDescent="0.25">
      <c r="A36" s="5" t="s">
        <v>16</v>
      </c>
      <c r="B36" s="5" t="s">
        <v>16</v>
      </c>
      <c r="C36" s="5" t="s">
        <v>16</v>
      </c>
      <c r="D36" s="5" t="s">
        <v>16</v>
      </c>
      <c r="E36" s="86" t="s">
        <v>16</v>
      </c>
    </row>
    <row r="37" spans="1:5" x14ac:dyDescent="0.25">
      <c r="A37" s="5" t="s">
        <v>18</v>
      </c>
      <c r="B37" s="5" t="s">
        <v>18</v>
      </c>
      <c r="C37" s="5" t="s">
        <v>26</v>
      </c>
      <c r="D37" s="5">
        <v>0</v>
      </c>
      <c r="E37" s="5" t="s">
        <v>1322</v>
      </c>
    </row>
    <row r="38" spans="1:5" x14ac:dyDescent="0.25">
      <c r="A38" s="4" t="s">
        <v>26</v>
      </c>
      <c r="B38" s="5" t="s">
        <v>26</v>
      </c>
      <c r="C38" s="4" t="s">
        <v>1295</v>
      </c>
      <c r="D38" s="4">
        <v>1</v>
      </c>
      <c r="E38" s="4" t="s">
        <v>1296</v>
      </c>
    </row>
    <row r="39" spans="1:5" x14ac:dyDescent="0.25">
      <c r="A39" s="7"/>
      <c r="B39" s="4" t="s">
        <v>1295</v>
      </c>
      <c r="D39" s="8"/>
      <c r="E39" s="8"/>
    </row>
    <row r="41" spans="1:5" x14ac:dyDescent="0.25">
      <c r="A41" s="1" t="s">
        <v>41</v>
      </c>
      <c r="B41" s="1" t="s">
        <v>42</v>
      </c>
      <c r="C41" s="1" t="s">
        <v>43</v>
      </c>
      <c r="D41" s="1" t="s">
        <v>45</v>
      </c>
      <c r="E41" s="1" t="s">
        <v>46</v>
      </c>
    </row>
    <row r="42" spans="1:5" x14ac:dyDescent="0.25">
      <c r="A42" s="2"/>
      <c r="B42" s="2"/>
      <c r="C42" s="2"/>
      <c r="D42" s="2"/>
      <c r="E42" s="2"/>
    </row>
    <row r="43" spans="1:5" x14ac:dyDescent="0.25">
      <c r="A43" s="5" t="s">
        <v>16</v>
      </c>
      <c r="B43" s="5">
        <v>0</v>
      </c>
      <c r="C43" s="5">
        <v>0</v>
      </c>
      <c r="D43" s="5">
        <v>0</v>
      </c>
      <c r="E43" s="5">
        <v>0</v>
      </c>
    </row>
    <row r="44" spans="1:5" x14ac:dyDescent="0.25">
      <c r="A44" s="5" t="s">
        <v>18</v>
      </c>
      <c r="B44" s="5">
        <v>2</v>
      </c>
      <c r="C44" s="5">
        <v>1</v>
      </c>
      <c r="D44" s="5">
        <v>1</v>
      </c>
      <c r="E44" s="5">
        <v>0.5</v>
      </c>
    </row>
    <row r="45" spans="1:5" x14ac:dyDescent="0.25">
      <c r="A45" s="4" t="s">
        <v>1295</v>
      </c>
      <c r="B45" s="4" t="s">
        <v>18</v>
      </c>
      <c r="C45" s="5">
        <v>2</v>
      </c>
      <c r="D45" s="4">
        <v>-1</v>
      </c>
      <c r="E45" s="5">
        <v>1</v>
      </c>
    </row>
    <row r="46" spans="1:5" x14ac:dyDescent="0.25">
      <c r="A46" s="8"/>
      <c r="C46" s="5">
        <v>3</v>
      </c>
      <c r="E46" s="4">
        <v>1.5</v>
      </c>
    </row>
    <row r="47" spans="1:5" x14ac:dyDescent="0.25">
      <c r="A47" s="8"/>
      <c r="B47" s="8"/>
      <c r="C47" s="5">
        <v>4</v>
      </c>
    </row>
    <row r="48" spans="1:5" x14ac:dyDescent="0.25">
      <c r="A48" s="8"/>
      <c r="B48" s="8"/>
      <c r="C48" s="4">
        <v>5</v>
      </c>
    </row>
    <row r="49" spans="1:6" x14ac:dyDescent="0.25">
      <c r="A49" s="8"/>
      <c r="B49" s="8"/>
    </row>
    <row r="50" spans="1:6" x14ac:dyDescent="0.25">
      <c r="A50" s="1" t="s">
        <v>47</v>
      </c>
      <c r="B50" s="9" t="s">
        <v>48</v>
      </c>
      <c r="C50" s="1" t="s">
        <v>49</v>
      </c>
      <c r="D50" s="1" t="s">
        <v>50</v>
      </c>
      <c r="E50" s="1" t="s">
        <v>51</v>
      </c>
    </row>
    <row r="51" spans="1:6" x14ac:dyDescent="0.25">
      <c r="A51" s="2"/>
      <c r="B51" s="3"/>
      <c r="C51" s="86"/>
      <c r="D51" s="86"/>
      <c r="E51" s="2"/>
    </row>
    <row r="52" spans="1:6" x14ac:dyDescent="0.25">
      <c r="A52" s="5">
        <v>0</v>
      </c>
      <c r="B52" s="6">
        <v>0</v>
      </c>
      <c r="C52" s="86" t="s">
        <v>52</v>
      </c>
      <c r="D52" s="86" t="s">
        <v>53</v>
      </c>
      <c r="E52" s="5">
        <v>0</v>
      </c>
    </row>
    <row r="53" spans="1:6" x14ac:dyDescent="0.25">
      <c r="A53" s="5">
        <v>1</v>
      </c>
      <c r="B53" s="6">
        <v>1.5</v>
      </c>
      <c r="C53" s="86" t="s">
        <v>54</v>
      </c>
      <c r="D53" s="86" t="s">
        <v>55</v>
      </c>
      <c r="E53" s="5">
        <v>1</v>
      </c>
    </row>
    <row r="54" spans="1:6" x14ac:dyDescent="0.25">
      <c r="A54" s="5">
        <v>-1</v>
      </c>
      <c r="B54" s="215">
        <v>3</v>
      </c>
      <c r="C54" s="86" t="s">
        <v>56</v>
      </c>
      <c r="D54" s="86" t="s">
        <v>18</v>
      </c>
      <c r="E54" s="5">
        <v>2</v>
      </c>
    </row>
    <row r="55" spans="1:6" x14ac:dyDescent="0.25">
      <c r="A55" s="4">
        <v>-2</v>
      </c>
      <c r="C55" s="86" t="s">
        <v>57</v>
      </c>
      <c r="D55" s="85" t="s">
        <v>58</v>
      </c>
      <c r="E55" s="4">
        <v>3</v>
      </c>
    </row>
    <row r="56" spans="1:6" x14ac:dyDescent="0.25">
      <c r="C56" s="85" t="s">
        <v>59</v>
      </c>
    </row>
    <row r="58" spans="1:6" x14ac:dyDescent="0.25">
      <c r="A58" s="1" t="s">
        <v>60</v>
      </c>
      <c r="B58" s="1" t="s">
        <v>1130</v>
      </c>
      <c r="C58" s="1" t="s">
        <v>802</v>
      </c>
      <c r="D58" s="1" t="s">
        <v>843</v>
      </c>
      <c r="E58" s="1" t="s">
        <v>844</v>
      </c>
    </row>
    <row r="59" spans="1:6" x14ac:dyDescent="0.25">
      <c r="A59" s="2"/>
      <c r="B59" s="2"/>
      <c r="C59" s="2"/>
      <c r="D59" s="2"/>
      <c r="E59" s="72"/>
    </row>
    <row r="60" spans="1:6" x14ac:dyDescent="0.25">
      <c r="A60" s="5">
        <v>0</v>
      </c>
      <c r="B60" s="5">
        <v>0</v>
      </c>
      <c r="C60" s="5" t="s">
        <v>800</v>
      </c>
      <c r="D60" s="5">
        <v>0</v>
      </c>
      <c r="E60" s="73">
        <v>0</v>
      </c>
    </row>
    <row r="61" spans="1:6" x14ac:dyDescent="0.25">
      <c r="A61" s="5">
        <v>0.5</v>
      </c>
      <c r="B61" s="5">
        <v>1</v>
      </c>
      <c r="C61" s="5" t="s">
        <v>801</v>
      </c>
      <c r="D61" s="4">
        <v>0.25</v>
      </c>
      <c r="E61" s="73">
        <v>0.25</v>
      </c>
      <c r="F61" s="8"/>
    </row>
    <row r="62" spans="1:6" x14ac:dyDescent="0.25">
      <c r="A62" s="4" t="s">
        <v>61</v>
      </c>
      <c r="B62" s="4" t="s">
        <v>61</v>
      </c>
      <c r="C62" s="4" t="s">
        <v>996</v>
      </c>
      <c r="E62" s="73">
        <v>0.5</v>
      </c>
      <c r="F62" s="8"/>
    </row>
    <row r="63" spans="1:6" x14ac:dyDescent="0.25">
      <c r="E63" s="73">
        <v>0.75</v>
      </c>
    </row>
    <row r="64" spans="1:6" x14ac:dyDescent="0.25">
      <c r="E64" s="73">
        <v>1</v>
      </c>
    </row>
    <row r="65" spans="1:6" x14ac:dyDescent="0.25">
      <c r="E65" s="73">
        <v>1.25</v>
      </c>
    </row>
    <row r="66" spans="1:6" x14ac:dyDescent="0.25">
      <c r="E66" s="74">
        <v>1.5</v>
      </c>
    </row>
    <row r="68" spans="1:6" x14ac:dyDescent="0.25">
      <c r="A68" s="1" t="s">
        <v>845</v>
      </c>
      <c r="B68" s="1" t="s">
        <v>854</v>
      </c>
      <c r="C68" s="1" t="s">
        <v>890</v>
      </c>
      <c r="D68" s="1" t="s">
        <v>920</v>
      </c>
      <c r="E68" s="1" t="s">
        <v>921</v>
      </c>
    </row>
    <row r="69" spans="1:6" x14ac:dyDescent="0.25">
      <c r="A69" s="2"/>
      <c r="B69" s="2"/>
      <c r="C69" s="3"/>
      <c r="D69" s="2"/>
      <c r="E69" s="2"/>
    </row>
    <row r="70" spans="1:6" x14ac:dyDescent="0.25">
      <c r="A70" s="5" t="s">
        <v>16</v>
      </c>
      <c r="B70" s="5" t="s">
        <v>16</v>
      </c>
      <c r="C70" s="6">
        <v>0</v>
      </c>
      <c r="D70" s="4" t="s">
        <v>1361</v>
      </c>
      <c r="E70" s="5" t="s">
        <v>16</v>
      </c>
    </row>
    <row r="71" spans="1:6" x14ac:dyDescent="0.25">
      <c r="A71" s="5" t="s">
        <v>1295</v>
      </c>
      <c r="B71" s="5">
        <v>0</v>
      </c>
      <c r="C71" s="215">
        <v>6</v>
      </c>
      <c r="D71" s="2"/>
      <c r="E71" s="4" t="s">
        <v>1295</v>
      </c>
      <c r="F71" s="8"/>
    </row>
    <row r="72" spans="1:6" x14ac:dyDescent="0.25">
      <c r="A72" s="4" t="s">
        <v>18</v>
      </c>
      <c r="B72" s="4">
        <v>1</v>
      </c>
      <c r="F72" s="8"/>
    </row>
    <row r="74" spans="1:6" x14ac:dyDescent="0.25">
      <c r="A74" s="1" t="s">
        <v>1008</v>
      </c>
      <c r="B74" s="1" t="s">
        <v>1030</v>
      </c>
      <c r="C74" s="1" t="s">
        <v>1046</v>
      </c>
      <c r="D74" s="1" t="s">
        <v>1054</v>
      </c>
      <c r="E74" s="1" t="s">
        <v>1122</v>
      </c>
    </row>
    <row r="75" spans="1:6" x14ac:dyDescent="0.25">
      <c r="A75" s="2"/>
      <c r="B75" s="2"/>
      <c r="C75" s="2"/>
      <c r="D75" s="2"/>
      <c r="E75" s="2"/>
    </row>
    <row r="76" spans="1:6" x14ac:dyDescent="0.25">
      <c r="A76" s="5" t="s">
        <v>16</v>
      </c>
      <c r="B76" s="5">
        <v>0</v>
      </c>
      <c r="C76" s="5" t="s">
        <v>1047</v>
      </c>
      <c r="D76" s="5">
        <v>0</v>
      </c>
      <c r="E76" s="4">
        <v>40</v>
      </c>
    </row>
    <row r="77" spans="1:6" x14ac:dyDescent="0.25">
      <c r="A77" s="4" t="s">
        <v>26</v>
      </c>
      <c r="B77" s="5">
        <v>1</v>
      </c>
      <c r="C77" s="5" t="s">
        <v>1048</v>
      </c>
      <c r="D77" s="5">
        <v>1</v>
      </c>
    </row>
    <row r="78" spans="1:6" x14ac:dyDescent="0.25">
      <c r="B78" s="5">
        <v>2</v>
      </c>
      <c r="C78" s="4" t="s">
        <v>1049</v>
      </c>
      <c r="D78" s="4" t="s">
        <v>1053</v>
      </c>
    </row>
    <row r="79" spans="1:6" x14ac:dyDescent="0.25">
      <c r="B79" s="4">
        <v>3</v>
      </c>
    </row>
    <row r="81" spans="1:5" x14ac:dyDescent="0.25">
      <c r="A81" s="1" t="s">
        <v>1223</v>
      </c>
      <c r="B81" s="1" t="s">
        <v>1299</v>
      </c>
      <c r="C81" s="1" t="s">
        <v>1324</v>
      </c>
      <c r="D81" s="1" t="s">
        <v>1331</v>
      </c>
      <c r="E81" s="1" t="s">
        <v>1345</v>
      </c>
    </row>
    <row r="82" spans="1:5" x14ac:dyDescent="0.25">
      <c r="A82" s="83"/>
      <c r="B82" s="2"/>
      <c r="C82" s="2"/>
      <c r="D82" s="2"/>
      <c r="E82" s="2"/>
    </row>
    <row r="83" spans="1:5" x14ac:dyDescent="0.25">
      <c r="A83" s="86" t="s">
        <v>53</v>
      </c>
      <c r="B83" s="5" t="s">
        <v>1300</v>
      </c>
      <c r="C83" s="5">
        <v>0</v>
      </c>
      <c r="D83" s="5" t="s">
        <v>16</v>
      </c>
      <c r="E83" s="5" t="s">
        <v>16</v>
      </c>
    </row>
    <row r="84" spans="1:5" x14ac:dyDescent="0.25">
      <c r="A84" s="86" t="s">
        <v>55</v>
      </c>
      <c r="B84" s="5" t="s">
        <v>1301</v>
      </c>
      <c r="C84" s="5">
        <v>3</v>
      </c>
      <c r="D84" s="5" t="s">
        <v>1295</v>
      </c>
      <c r="E84" s="5" t="s">
        <v>1347</v>
      </c>
    </row>
    <row r="85" spans="1:5" x14ac:dyDescent="0.25">
      <c r="A85" s="85" t="s">
        <v>1224</v>
      </c>
      <c r="B85" s="5" t="s">
        <v>1302</v>
      </c>
      <c r="C85" s="4" t="s">
        <v>1053</v>
      </c>
      <c r="D85" s="4" t="s">
        <v>1332</v>
      </c>
      <c r="E85" s="4" t="s">
        <v>1346</v>
      </c>
    </row>
    <row r="86" spans="1:5" x14ac:dyDescent="0.25">
      <c r="B86" s="4" t="s">
        <v>1303</v>
      </c>
    </row>
    <row r="88" spans="1:5" x14ac:dyDescent="0.25">
      <c r="A88" s="1" t="s">
        <v>1349</v>
      </c>
      <c r="B88" s="1" t="s">
        <v>1372</v>
      </c>
    </row>
    <row r="89" spans="1:5" x14ac:dyDescent="0.25">
      <c r="A89" s="83"/>
      <c r="B89" s="83"/>
    </row>
    <row r="90" spans="1:5" x14ac:dyDescent="0.25">
      <c r="A90" s="86" t="s">
        <v>52</v>
      </c>
      <c r="B90" s="86" t="s">
        <v>1375</v>
      </c>
    </row>
    <row r="91" spans="1:5" x14ac:dyDescent="0.25">
      <c r="A91" s="86" t="s">
        <v>1350</v>
      </c>
      <c r="B91" s="86" t="s">
        <v>1373</v>
      </c>
    </row>
    <row r="92" spans="1:5" x14ac:dyDescent="0.25">
      <c r="A92" s="86" t="s">
        <v>1351</v>
      </c>
      <c r="B92" s="85" t="s">
        <v>1374</v>
      </c>
    </row>
    <row r="93" spans="1:5" x14ac:dyDescent="0.25">
      <c r="A93" s="86" t="s">
        <v>1379</v>
      </c>
    </row>
    <row r="94" spans="1:5" x14ac:dyDescent="0.25">
      <c r="A94" s="86" t="s">
        <v>1302</v>
      </c>
    </row>
    <row r="95" spans="1:5" x14ac:dyDescent="0.25">
      <c r="A95" s="85" t="s">
        <v>1303</v>
      </c>
    </row>
    <row r="97" spans="1:5" x14ac:dyDescent="0.25">
      <c r="A97" s="1" t="s">
        <v>62</v>
      </c>
      <c r="B97" s="88" t="s">
        <v>63</v>
      </c>
      <c r="C97" s="1" t="s">
        <v>64</v>
      </c>
      <c r="D97" s="1" t="s">
        <v>65</v>
      </c>
      <c r="E97" s="1" t="s">
        <v>867</v>
      </c>
    </row>
    <row r="98" spans="1:5" x14ac:dyDescent="0.25">
      <c r="A98" s="83"/>
      <c r="B98" s="291"/>
      <c r="C98" s="2"/>
      <c r="D98" s="2"/>
      <c r="E98" s="83"/>
    </row>
    <row r="99" spans="1:5" x14ac:dyDescent="0.25">
      <c r="A99" s="86" t="s">
        <v>53</v>
      </c>
      <c r="B99" s="89" t="s">
        <v>53</v>
      </c>
      <c r="C99" s="5">
        <v>3</v>
      </c>
      <c r="D99" s="86" t="s">
        <v>66</v>
      </c>
      <c r="E99" s="86" t="s">
        <v>872</v>
      </c>
    </row>
    <row r="100" spans="1:5" x14ac:dyDescent="0.25">
      <c r="A100" s="86" t="s">
        <v>55</v>
      </c>
      <c r="B100" s="84" t="s">
        <v>55</v>
      </c>
      <c r="C100" s="5">
        <v>4</v>
      </c>
      <c r="D100" s="10" t="s">
        <v>67</v>
      </c>
      <c r="E100" s="85" t="s">
        <v>873</v>
      </c>
    </row>
    <row r="101" spans="1:5" x14ac:dyDescent="0.25">
      <c r="A101" s="85" t="s">
        <v>18</v>
      </c>
      <c r="C101" s="5">
        <v>5</v>
      </c>
      <c r="D101" s="85" t="s">
        <v>68</v>
      </c>
      <c r="E101" s="104"/>
    </row>
    <row r="102" spans="1:5" x14ac:dyDescent="0.25">
      <c r="C102" s="5">
        <v>6</v>
      </c>
    </row>
    <row r="103" spans="1:5" x14ac:dyDescent="0.25">
      <c r="C103" s="4">
        <v>7</v>
      </c>
    </row>
    <row r="105" spans="1:5" x14ac:dyDescent="0.25">
      <c r="A105" s="1" t="s">
        <v>869</v>
      </c>
      <c r="B105" s="1" t="s">
        <v>933</v>
      </c>
      <c r="C105" s="1" t="s">
        <v>948</v>
      </c>
      <c r="D105" s="1" t="s">
        <v>978</v>
      </c>
      <c r="E105" s="1" t="s">
        <v>981</v>
      </c>
    </row>
    <row r="106" spans="1:5" x14ac:dyDescent="0.25">
      <c r="A106" s="83"/>
      <c r="B106" s="104"/>
      <c r="C106" s="2"/>
      <c r="D106" s="83"/>
      <c r="E106" s="83"/>
    </row>
    <row r="107" spans="1:5" x14ac:dyDescent="0.25">
      <c r="A107" s="86" t="s">
        <v>53</v>
      </c>
      <c r="B107" s="76" t="s">
        <v>934</v>
      </c>
      <c r="C107" s="5" t="s">
        <v>262</v>
      </c>
      <c r="D107" s="77" t="s">
        <v>979</v>
      </c>
      <c r="E107" s="77" t="s">
        <v>982</v>
      </c>
    </row>
    <row r="108" spans="1:5" x14ac:dyDescent="0.25">
      <c r="A108" s="86" t="s">
        <v>55</v>
      </c>
      <c r="B108" s="286" t="s">
        <v>935</v>
      </c>
      <c r="C108" s="5" t="s">
        <v>263</v>
      </c>
      <c r="D108" s="287" t="s">
        <v>980</v>
      </c>
      <c r="E108" s="287" t="s">
        <v>983</v>
      </c>
    </row>
    <row r="109" spans="1:5" x14ac:dyDescent="0.25">
      <c r="A109" s="91" t="s">
        <v>870</v>
      </c>
      <c r="B109" s="104"/>
      <c r="C109" s="5" t="s">
        <v>264</v>
      </c>
    </row>
    <row r="110" spans="1:5" x14ac:dyDescent="0.25">
      <c r="C110" s="5" t="s">
        <v>265</v>
      </c>
    </row>
    <row r="111" spans="1:5" x14ac:dyDescent="0.25">
      <c r="C111" s="5" t="s">
        <v>266</v>
      </c>
    </row>
    <row r="112" spans="1:5" x14ac:dyDescent="0.25">
      <c r="C112" s="5" t="s">
        <v>267</v>
      </c>
    </row>
    <row r="113" spans="1:5" x14ac:dyDescent="0.25">
      <c r="C113" s="5" t="s">
        <v>949</v>
      </c>
    </row>
    <row r="114" spans="1:5" x14ac:dyDescent="0.25">
      <c r="C114" s="5" t="s">
        <v>950</v>
      </c>
    </row>
    <row r="115" spans="1:5" x14ac:dyDescent="0.25">
      <c r="C115" s="5" t="s">
        <v>951</v>
      </c>
    </row>
    <row r="116" spans="1:5" x14ac:dyDescent="0.25">
      <c r="C116" s="5" t="s">
        <v>952</v>
      </c>
    </row>
    <row r="117" spans="1:5" x14ac:dyDescent="0.25">
      <c r="C117" s="5">
        <v>11</v>
      </c>
    </row>
    <row r="118" spans="1:5" x14ac:dyDescent="0.25">
      <c r="C118" s="5">
        <v>12</v>
      </c>
    </row>
    <row r="119" spans="1:5" x14ac:dyDescent="0.25">
      <c r="C119" s="5">
        <v>13</v>
      </c>
    </row>
    <row r="120" spans="1:5" x14ac:dyDescent="0.25">
      <c r="C120" s="5">
        <v>14</v>
      </c>
    </row>
    <row r="121" spans="1:5" x14ac:dyDescent="0.25">
      <c r="C121" s="5">
        <v>15</v>
      </c>
    </row>
    <row r="122" spans="1:5" x14ac:dyDescent="0.25">
      <c r="C122" s="5">
        <v>16</v>
      </c>
    </row>
    <row r="123" spans="1:5" x14ac:dyDescent="0.25">
      <c r="C123" s="5">
        <v>17</v>
      </c>
    </row>
    <row r="124" spans="1:5" x14ac:dyDescent="0.25">
      <c r="C124" s="5">
        <v>18</v>
      </c>
    </row>
    <row r="125" spans="1:5" x14ac:dyDescent="0.25">
      <c r="C125" s="5">
        <v>19</v>
      </c>
    </row>
    <row r="126" spans="1:5" x14ac:dyDescent="0.25">
      <c r="C126" s="4">
        <v>20</v>
      </c>
    </row>
    <row r="128" spans="1:5" x14ac:dyDescent="0.25">
      <c r="A128" s="1" t="s">
        <v>984</v>
      </c>
      <c r="B128" s="1" t="s">
        <v>989</v>
      </c>
      <c r="C128" s="1" t="s">
        <v>990</v>
      </c>
      <c r="D128" s="1" t="s">
        <v>991</v>
      </c>
      <c r="E128" s="1" t="s">
        <v>997</v>
      </c>
    </row>
    <row r="129" spans="1:5" x14ac:dyDescent="0.25">
      <c r="A129" s="83"/>
      <c r="B129" s="83"/>
      <c r="C129" s="83"/>
      <c r="D129" s="83"/>
      <c r="E129" s="83"/>
    </row>
    <row r="130" spans="1:5" x14ac:dyDescent="0.25">
      <c r="A130" s="77" t="s">
        <v>985</v>
      </c>
      <c r="B130" s="86" t="s">
        <v>638</v>
      </c>
      <c r="C130" s="86" t="s">
        <v>638</v>
      </c>
      <c r="D130" s="86" t="s">
        <v>992</v>
      </c>
      <c r="E130" s="92" t="s">
        <v>998</v>
      </c>
    </row>
    <row r="131" spans="1:5" x14ac:dyDescent="0.25">
      <c r="A131" s="287" t="s">
        <v>986</v>
      </c>
      <c r="B131" s="86" t="s">
        <v>679</v>
      </c>
      <c r="C131" s="86" t="s">
        <v>679</v>
      </c>
      <c r="D131" s="86" t="s">
        <v>993</v>
      </c>
      <c r="E131" s="90" t="s">
        <v>1041</v>
      </c>
    </row>
    <row r="132" spans="1:5" x14ac:dyDescent="0.25">
      <c r="B132" s="86" t="s">
        <v>710</v>
      </c>
      <c r="C132" s="86" t="s">
        <v>710</v>
      </c>
      <c r="D132" s="86" t="s">
        <v>994</v>
      </c>
    </row>
    <row r="133" spans="1:5" x14ac:dyDescent="0.25">
      <c r="B133" s="86" t="s">
        <v>673</v>
      </c>
      <c r="C133" s="86" t="s">
        <v>673</v>
      </c>
      <c r="D133" s="86" t="s">
        <v>995</v>
      </c>
      <c r="E133" s="277"/>
    </row>
    <row r="134" spans="1:5" x14ac:dyDescent="0.25">
      <c r="B134" s="86" t="s">
        <v>633</v>
      </c>
      <c r="C134" s="86" t="s">
        <v>633</v>
      </c>
      <c r="D134" s="85" t="s">
        <v>996</v>
      </c>
    </row>
    <row r="135" spans="1:5" x14ac:dyDescent="0.25">
      <c r="B135" s="86" t="s">
        <v>661</v>
      </c>
      <c r="C135" s="86" t="s">
        <v>661</v>
      </c>
    </row>
    <row r="136" spans="1:5" x14ac:dyDescent="0.25">
      <c r="B136" s="86" t="s">
        <v>675</v>
      </c>
      <c r="C136" s="86" t="s">
        <v>675</v>
      </c>
    </row>
    <row r="137" spans="1:5" x14ac:dyDescent="0.25">
      <c r="B137" s="86" t="s">
        <v>682</v>
      </c>
      <c r="C137" s="86" t="s">
        <v>682</v>
      </c>
    </row>
    <row r="138" spans="1:5" x14ac:dyDescent="0.25">
      <c r="B138" s="86" t="s">
        <v>641</v>
      </c>
      <c r="C138" s="86" t="s">
        <v>641</v>
      </c>
    </row>
    <row r="139" spans="1:5" x14ac:dyDescent="0.25">
      <c r="B139" s="86" t="s">
        <v>718</v>
      </c>
      <c r="C139" s="86" t="s">
        <v>718</v>
      </c>
    </row>
    <row r="140" spans="1:5" x14ac:dyDescent="0.25">
      <c r="B140" s="86" t="s">
        <v>715</v>
      </c>
      <c r="C140" s="86" t="s">
        <v>715</v>
      </c>
    </row>
    <row r="141" spans="1:5" x14ac:dyDescent="0.25">
      <c r="B141" s="86" t="s">
        <v>698</v>
      </c>
      <c r="C141" s="86" t="s">
        <v>698</v>
      </c>
    </row>
    <row r="142" spans="1:5" x14ac:dyDescent="0.25">
      <c r="B142" s="86" t="s">
        <v>987</v>
      </c>
      <c r="C142" s="86" t="s">
        <v>987</v>
      </c>
    </row>
    <row r="143" spans="1:5" x14ac:dyDescent="0.25">
      <c r="B143" s="86" t="s">
        <v>684</v>
      </c>
      <c r="C143" s="86" t="s">
        <v>684</v>
      </c>
    </row>
    <row r="144" spans="1:5" x14ac:dyDescent="0.25">
      <c r="B144" s="86" t="s">
        <v>652</v>
      </c>
      <c r="C144" s="86" t="s">
        <v>652</v>
      </c>
    </row>
    <row r="145" spans="2:3" x14ac:dyDescent="0.25">
      <c r="B145" s="86" t="s">
        <v>691</v>
      </c>
      <c r="C145" s="86" t="s">
        <v>691</v>
      </c>
    </row>
    <row r="146" spans="2:3" x14ac:dyDescent="0.25">
      <c r="B146" s="86" t="s">
        <v>665</v>
      </c>
      <c r="C146" s="86" t="s">
        <v>665</v>
      </c>
    </row>
    <row r="147" spans="2:3" x14ac:dyDescent="0.25">
      <c r="B147" s="86" t="s">
        <v>677</v>
      </c>
      <c r="C147" s="86" t="s">
        <v>677</v>
      </c>
    </row>
    <row r="148" spans="2:3" x14ac:dyDescent="0.25">
      <c r="B148" s="86" t="s">
        <v>988</v>
      </c>
      <c r="C148" s="86" t="s">
        <v>988</v>
      </c>
    </row>
    <row r="149" spans="2:3" x14ac:dyDescent="0.25">
      <c r="B149" s="86" t="s">
        <v>635</v>
      </c>
      <c r="C149" s="86" t="s">
        <v>635</v>
      </c>
    </row>
    <row r="150" spans="2:3" x14ac:dyDescent="0.25">
      <c r="B150" s="86" t="s">
        <v>729</v>
      </c>
      <c r="C150" s="86" t="s">
        <v>729</v>
      </c>
    </row>
    <row r="151" spans="2:3" x14ac:dyDescent="0.25">
      <c r="B151" s="86" t="s">
        <v>630</v>
      </c>
      <c r="C151" s="86" t="s">
        <v>630</v>
      </c>
    </row>
    <row r="152" spans="2:3" x14ac:dyDescent="0.25">
      <c r="B152" s="86" t="s">
        <v>703</v>
      </c>
      <c r="C152" s="86" t="s">
        <v>703</v>
      </c>
    </row>
    <row r="153" spans="2:3" x14ac:dyDescent="0.25">
      <c r="B153" s="86" t="s">
        <v>646</v>
      </c>
      <c r="C153" s="86" t="s">
        <v>646</v>
      </c>
    </row>
    <row r="154" spans="2:3" x14ac:dyDescent="0.25">
      <c r="B154" s="86" t="s">
        <v>643</v>
      </c>
      <c r="C154" s="86" t="s">
        <v>643</v>
      </c>
    </row>
    <row r="155" spans="2:3" x14ac:dyDescent="0.25">
      <c r="B155" s="86" t="s">
        <v>688</v>
      </c>
      <c r="C155" s="86" t="s">
        <v>688</v>
      </c>
    </row>
    <row r="156" spans="2:3" x14ac:dyDescent="0.25">
      <c r="B156" s="86" t="s">
        <v>669</v>
      </c>
      <c r="C156" s="86" t="s">
        <v>669</v>
      </c>
    </row>
    <row r="157" spans="2:3" x14ac:dyDescent="0.25">
      <c r="B157" s="86" t="s">
        <v>727</v>
      </c>
      <c r="C157" s="86" t="s">
        <v>727</v>
      </c>
    </row>
    <row r="158" spans="2:3" x14ac:dyDescent="0.25">
      <c r="B158" s="86" t="s">
        <v>649</v>
      </c>
      <c r="C158" s="86" t="s">
        <v>649</v>
      </c>
    </row>
    <row r="159" spans="2:3" x14ac:dyDescent="0.25">
      <c r="B159" s="86" t="s">
        <v>706</v>
      </c>
      <c r="C159" s="86" t="s">
        <v>706</v>
      </c>
    </row>
    <row r="160" spans="2:3" x14ac:dyDescent="0.25">
      <c r="B160" s="86" t="s">
        <v>696</v>
      </c>
      <c r="C160" s="86" t="s">
        <v>696</v>
      </c>
    </row>
    <row r="161" spans="1:5" x14ac:dyDescent="0.25">
      <c r="B161" s="86" t="s">
        <v>658</v>
      </c>
      <c r="C161" s="86" t="s">
        <v>658</v>
      </c>
    </row>
    <row r="162" spans="1:5" x14ac:dyDescent="0.25">
      <c r="B162" s="85" t="s">
        <v>645</v>
      </c>
      <c r="C162" s="85" t="s">
        <v>645</v>
      </c>
    </row>
    <row r="164" spans="1:5" x14ac:dyDescent="0.25">
      <c r="A164" s="1" t="s">
        <v>999</v>
      </c>
      <c r="B164" s="1" t="s">
        <v>1000</v>
      </c>
      <c r="C164" s="1" t="s">
        <v>1012</v>
      </c>
      <c r="D164" s="1" t="s">
        <v>1042</v>
      </c>
      <c r="E164" s="1" t="s">
        <v>1044</v>
      </c>
    </row>
    <row r="165" spans="1:5" x14ac:dyDescent="0.25">
      <c r="A165" s="83"/>
      <c r="B165" s="83"/>
      <c r="C165" s="83"/>
      <c r="D165" s="83"/>
      <c r="E165" s="83"/>
    </row>
    <row r="166" spans="1:5" x14ac:dyDescent="0.25">
      <c r="A166" s="86" t="s">
        <v>18</v>
      </c>
      <c r="B166" s="86" t="s">
        <v>18</v>
      </c>
      <c r="C166" s="86" t="s">
        <v>1013</v>
      </c>
      <c r="D166" s="86" t="s">
        <v>53</v>
      </c>
      <c r="E166" s="92" t="s">
        <v>998</v>
      </c>
    </row>
    <row r="167" spans="1:5" x14ac:dyDescent="0.25">
      <c r="A167" s="86" t="s">
        <v>53</v>
      </c>
      <c r="B167" s="86" t="s">
        <v>53</v>
      </c>
      <c r="C167" s="86" t="s">
        <v>26</v>
      </c>
      <c r="D167" s="86" t="s">
        <v>55</v>
      </c>
      <c r="E167" s="92" t="s">
        <v>1041</v>
      </c>
    </row>
    <row r="168" spans="1:5" x14ac:dyDescent="0.25">
      <c r="A168" s="86" t="s">
        <v>55</v>
      </c>
      <c r="B168" s="85" t="s">
        <v>55</v>
      </c>
      <c r="C168" s="85" t="s">
        <v>16</v>
      </c>
      <c r="D168" s="85" t="s">
        <v>1043</v>
      </c>
      <c r="E168" s="90" t="s">
        <v>1045</v>
      </c>
    </row>
    <row r="169" spans="1:5" x14ac:dyDescent="0.25">
      <c r="A169" s="85" t="s">
        <v>996</v>
      </c>
    </row>
    <row r="203" spans="1:1" x14ac:dyDescent="0.25">
      <c r="A203" s="277"/>
    </row>
  </sheetData>
  <sheetProtection algorithmName="SHA-512" hashValue="3hBuEJ8bU8VqOkEIP3eTTOisSuJ0cJeSNRJrrR7XDm8MQikm8SoxuIi5rGd/IIf61p2rOEVAnI+byEYfI9m5HQ==" saltValue="xba5xBsMng8SpK9VWKiS7w==" spinCount="100000" sheet="1" objects="1" scenarios="1" selectLockedCells="1" selectUnlockedCells="1"/>
  <printOptions horizontalCentered="1" headings="1"/>
  <pageMargins left="0.2" right="0.2" top="0.5" bottom="0.5" header="0.2" footer="0.2"/>
  <pageSetup scale="75" fitToHeight="5" orientation="portrait" r:id="rId1"/>
  <headerFooter>
    <oddHeader>&amp;L&amp;F&amp;R&amp;A</oddHeader>
  </headerFooter>
  <rowBreaks count="2" manualBreakCount="2">
    <brk id="57" max="4" man="1"/>
    <brk id="127" max="4"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rgb="FFFFC000"/>
  </sheetPr>
  <dimension ref="A1:I45"/>
  <sheetViews>
    <sheetView workbookViewId="0">
      <selection activeCell="C11" sqref="C11"/>
    </sheetView>
  </sheetViews>
  <sheetFormatPr defaultColWidth="8.7109375" defaultRowHeight="15" x14ac:dyDescent="0.25"/>
  <cols>
    <col min="1" max="1" width="15.7109375" style="292" customWidth="1"/>
    <col min="2" max="2" width="35.7109375" style="292" customWidth="1"/>
    <col min="3" max="6" width="15.7109375" style="292" customWidth="1"/>
    <col min="7" max="7" width="50.28515625" style="292" customWidth="1"/>
    <col min="8" max="8" width="15.7109375" style="292" customWidth="1"/>
    <col min="9" max="9" width="14.28515625" style="292" customWidth="1"/>
    <col min="10" max="16384" width="8.7109375" style="292"/>
  </cols>
  <sheetData>
    <row r="1" spans="1:9" x14ac:dyDescent="0.25">
      <c r="A1" s="27" t="s">
        <v>391</v>
      </c>
      <c r="I1" t="s">
        <v>924</v>
      </c>
    </row>
    <row r="2" spans="1:9" x14ac:dyDescent="0.25">
      <c r="A2" s="283" t="s">
        <v>392</v>
      </c>
      <c r="B2" s="1757" t="s">
        <v>393</v>
      </c>
      <c r="C2" s="1757"/>
      <c r="D2" s="1758" t="s">
        <v>394</v>
      </c>
      <c r="E2" s="1758"/>
      <c r="F2" s="1758"/>
      <c r="G2" s="28"/>
      <c r="H2" s="28"/>
      <c r="I2" s="28"/>
    </row>
    <row r="3" spans="1:9" ht="30" x14ac:dyDescent="0.25">
      <c r="A3" s="29" t="s">
        <v>395</v>
      </c>
      <c r="B3" s="30" t="s">
        <v>396</v>
      </c>
      <c r="C3" s="30" t="s">
        <v>397</v>
      </c>
      <c r="D3" s="31" t="s">
        <v>398</v>
      </c>
      <c r="E3" s="31" t="s">
        <v>399</v>
      </c>
      <c r="F3" s="32" t="s">
        <v>400</v>
      </c>
      <c r="G3" s="33"/>
      <c r="H3" s="33"/>
      <c r="I3" s="283"/>
    </row>
    <row r="4" spans="1:9" x14ac:dyDescent="0.25">
      <c r="B4" s="34" t="s">
        <v>401</v>
      </c>
      <c r="C4" s="35">
        <v>1.6</v>
      </c>
      <c r="D4" s="36" t="s">
        <v>402</v>
      </c>
      <c r="E4" s="36">
        <v>5</v>
      </c>
      <c r="F4" s="37"/>
      <c r="G4" s="283"/>
      <c r="H4" s="283"/>
      <c r="I4" s="283"/>
    </row>
    <row r="5" spans="1:9" x14ac:dyDescent="0.25">
      <c r="B5" s="34" t="s">
        <v>403</v>
      </c>
      <c r="C5" s="35">
        <v>1</v>
      </c>
      <c r="D5" s="36" t="s">
        <v>402</v>
      </c>
      <c r="E5" s="36">
        <v>5</v>
      </c>
      <c r="F5" s="37"/>
      <c r="G5" s="283"/>
      <c r="H5" s="283"/>
    </row>
    <row r="6" spans="1:9" x14ac:dyDescent="0.25">
      <c r="B6" s="34" t="s">
        <v>404</v>
      </c>
      <c r="C6" s="35">
        <v>2.5</v>
      </c>
      <c r="D6" s="36">
        <v>300</v>
      </c>
      <c r="E6" s="36">
        <v>1</v>
      </c>
      <c r="F6" s="37"/>
      <c r="G6" s="38"/>
    </row>
    <row r="7" spans="1:9" ht="30" x14ac:dyDescent="0.25">
      <c r="B7" s="34" t="s">
        <v>405</v>
      </c>
      <c r="C7" s="39">
        <v>3</v>
      </c>
      <c r="D7" s="36"/>
      <c r="E7" s="36"/>
      <c r="F7" s="40">
        <v>10</v>
      </c>
      <c r="G7" s="41" t="s">
        <v>406</v>
      </c>
    </row>
    <row r="8" spans="1:9" x14ac:dyDescent="0.25">
      <c r="B8" s="34" t="s">
        <v>407</v>
      </c>
      <c r="C8" s="35">
        <v>2.2000000000000002</v>
      </c>
      <c r="D8" s="36">
        <v>15</v>
      </c>
      <c r="E8" s="36">
        <v>5</v>
      </c>
      <c r="F8" s="37"/>
    </row>
    <row r="9" spans="1:9" ht="45" x14ac:dyDescent="0.25">
      <c r="B9" s="34" t="s">
        <v>408</v>
      </c>
      <c r="C9" s="35">
        <v>2.2000000000000002</v>
      </c>
      <c r="D9" s="36">
        <v>60</v>
      </c>
      <c r="E9" s="36">
        <f>1</f>
        <v>1</v>
      </c>
      <c r="F9" s="37"/>
      <c r="G9" s="42" t="s">
        <v>409</v>
      </c>
    </row>
    <row r="10" spans="1:9" x14ac:dyDescent="0.25">
      <c r="B10" s="34" t="s">
        <v>410</v>
      </c>
      <c r="C10" s="39">
        <v>6.5</v>
      </c>
      <c r="D10" s="43"/>
      <c r="E10" s="43"/>
      <c r="F10" s="37"/>
    </row>
    <row r="11" spans="1:9" ht="60" x14ac:dyDescent="0.25">
      <c r="B11" s="44" t="s">
        <v>411</v>
      </c>
      <c r="C11" s="39">
        <v>9.5</v>
      </c>
      <c r="D11" s="43"/>
      <c r="E11" s="43"/>
      <c r="F11" s="37"/>
      <c r="G11" s="42" t="s">
        <v>412</v>
      </c>
    </row>
    <row r="12" spans="1:9" ht="30" x14ac:dyDescent="0.25">
      <c r="B12" s="44" t="s">
        <v>413</v>
      </c>
      <c r="C12" s="39">
        <v>40.9</v>
      </c>
      <c r="D12" s="43"/>
      <c r="E12" s="43"/>
      <c r="F12" s="37"/>
      <c r="G12" s="42" t="s">
        <v>414</v>
      </c>
    </row>
    <row r="13" spans="1:9" x14ac:dyDescent="0.25">
      <c r="B13" s="34" t="s">
        <v>363</v>
      </c>
      <c r="C13" s="39">
        <v>2</v>
      </c>
      <c r="D13" s="43"/>
      <c r="E13" s="43"/>
      <c r="F13" s="37"/>
    </row>
    <row r="14" spans="1:9" x14ac:dyDescent="0.25">
      <c r="B14" s="34" t="s">
        <v>415</v>
      </c>
      <c r="C14" s="35"/>
      <c r="D14" s="43"/>
      <c r="E14" s="43"/>
      <c r="F14" s="37"/>
    </row>
    <row r="15" spans="1:9" x14ac:dyDescent="0.25">
      <c r="B15" s="34" t="s">
        <v>416</v>
      </c>
      <c r="C15" s="35"/>
      <c r="D15" s="43"/>
      <c r="E15" s="36">
        <v>4</v>
      </c>
      <c r="F15" s="37"/>
    </row>
    <row r="16" spans="1:9" x14ac:dyDescent="0.25">
      <c r="A16" s="283"/>
      <c r="B16" s="283"/>
      <c r="C16" s="283"/>
      <c r="D16" s="283"/>
      <c r="E16" s="283"/>
      <c r="G16" s="292" t="s">
        <v>417</v>
      </c>
    </row>
    <row r="17" spans="1:7" x14ac:dyDescent="0.25">
      <c r="A17" s="283" t="s">
        <v>418</v>
      </c>
      <c r="B17" s="1757" t="s">
        <v>419</v>
      </c>
      <c r="C17" s="1757"/>
      <c r="D17" s="1757" t="s">
        <v>394</v>
      </c>
      <c r="E17" s="1757"/>
      <c r="F17" s="1757"/>
      <c r="G17" s="292" t="s">
        <v>420</v>
      </c>
    </row>
    <row r="18" spans="1:7" ht="45" x14ac:dyDescent="0.25">
      <c r="B18" s="30" t="s">
        <v>396</v>
      </c>
      <c r="C18" s="30" t="s">
        <v>397</v>
      </c>
      <c r="D18" s="30" t="s">
        <v>398</v>
      </c>
      <c r="E18" s="30" t="s">
        <v>399</v>
      </c>
      <c r="F18" s="37"/>
      <c r="G18" s="96" t="s">
        <v>421</v>
      </c>
    </row>
    <row r="19" spans="1:7" x14ac:dyDescent="0.25">
      <c r="B19" s="34" t="s">
        <v>401</v>
      </c>
      <c r="C19" s="45">
        <v>1.28</v>
      </c>
      <c r="D19" s="46"/>
      <c r="E19" s="46"/>
      <c r="F19" s="37"/>
    </row>
    <row r="20" spans="1:7" x14ac:dyDescent="0.25">
      <c r="B20" s="34" t="s">
        <v>403</v>
      </c>
      <c r="C20" s="39">
        <v>1</v>
      </c>
      <c r="D20" s="46"/>
      <c r="E20" s="46"/>
      <c r="F20" s="37"/>
    </row>
    <row r="21" spans="1:7" x14ac:dyDescent="0.25">
      <c r="B21" s="34" t="s">
        <v>404</v>
      </c>
      <c r="C21" s="45">
        <v>2</v>
      </c>
      <c r="D21" s="46"/>
      <c r="E21" s="46"/>
      <c r="F21" s="37"/>
    </row>
    <row r="22" spans="1:7" x14ac:dyDescent="0.25">
      <c r="B22" s="34" t="s">
        <v>405</v>
      </c>
      <c r="C22" s="39">
        <v>3</v>
      </c>
      <c r="D22" s="46"/>
      <c r="E22" s="46"/>
      <c r="F22" s="37"/>
    </row>
    <row r="23" spans="1:7" x14ac:dyDescent="0.25">
      <c r="B23" s="34" t="s">
        <v>407</v>
      </c>
      <c r="C23" s="45">
        <v>1.5</v>
      </c>
      <c r="D23" s="46"/>
      <c r="E23" s="46"/>
      <c r="F23" s="37"/>
    </row>
    <row r="24" spans="1:7" x14ac:dyDescent="0.25">
      <c r="B24" s="34" t="s">
        <v>408</v>
      </c>
      <c r="C24" s="45">
        <v>2.2000000000000002</v>
      </c>
      <c r="D24" s="46"/>
      <c r="E24" s="46"/>
      <c r="F24" s="37"/>
    </row>
    <row r="25" spans="1:7" x14ac:dyDescent="0.25">
      <c r="B25" s="34" t="s">
        <v>410</v>
      </c>
      <c r="C25" s="45">
        <v>4.25</v>
      </c>
      <c r="D25" s="36"/>
      <c r="E25" s="36">
        <v>1</v>
      </c>
      <c r="F25" s="37"/>
    </row>
    <row r="26" spans="1:7" ht="60" x14ac:dyDescent="0.25">
      <c r="B26" s="44" t="s">
        <v>411</v>
      </c>
      <c r="C26" s="45">
        <f>6-6+C11-C11+6</f>
        <v>6</v>
      </c>
      <c r="D26" s="36"/>
      <c r="E26" s="36">
        <f>1-1+0.2</f>
        <v>0.2</v>
      </c>
      <c r="F26" s="37"/>
      <c r="G26" s="42" t="s">
        <v>422</v>
      </c>
    </row>
    <row r="27" spans="1:7" x14ac:dyDescent="0.25">
      <c r="B27" s="34" t="s">
        <v>363</v>
      </c>
      <c r="C27" s="45">
        <v>0.75</v>
      </c>
      <c r="D27" s="36"/>
      <c r="E27" s="36"/>
      <c r="F27" s="37"/>
    </row>
    <row r="28" spans="1:7" x14ac:dyDescent="0.25">
      <c r="B28" s="34" t="s">
        <v>415</v>
      </c>
      <c r="C28" s="47"/>
      <c r="D28" s="36"/>
      <c r="E28" s="36"/>
      <c r="F28" s="37"/>
    </row>
    <row r="29" spans="1:7" x14ac:dyDescent="0.25">
      <c r="B29" s="34" t="s">
        <v>68</v>
      </c>
      <c r="C29" s="47"/>
      <c r="D29" s="36"/>
      <c r="E29" s="36"/>
      <c r="F29" s="37"/>
    </row>
    <row r="30" spans="1:7" x14ac:dyDescent="0.25">
      <c r="A30" s="283"/>
      <c r="B30" s="283"/>
      <c r="C30" s="283"/>
      <c r="D30" s="283"/>
    </row>
    <row r="31" spans="1:7" x14ac:dyDescent="0.25">
      <c r="A31" s="283"/>
      <c r="B31" s="283"/>
      <c r="C31" s="283"/>
      <c r="D31" s="283"/>
    </row>
    <row r="32" spans="1:7" x14ac:dyDescent="0.25">
      <c r="A32" s="283" t="s">
        <v>423</v>
      </c>
      <c r="B32" s="1759" t="s">
        <v>424</v>
      </c>
      <c r="C32" s="1759"/>
      <c r="D32" s="1759"/>
      <c r="E32" s="1759"/>
      <c r="F32" s="1759"/>
      <c r="G32" s="292" t="s">
        <v>425</v>
      </c>
    </row>
    <row r="33" spans="1:7" ht="30" x14ac:dyDescent="0.25">
      <c r="B33" s="48" t="s">
        <v>396</v>
      </c>
      <c r="C33" s="48" t="s">
        <v>426</v>
      </c>
      <c r="D33" s="48"/>
      <c r="E33" s="48"/>
      <c r="F33" s="48"/>
    </row>
    <row r="34" spans="1:7" x14ac:dyDescent="0.25">
      <c r="B34" s="49" t="s">
        <v>427</v>
      </c>
      <c r="C34" s="50">
        <v>0.26700000000000002</v>
      </c>
      <c r="D34" s="51"/>
      <c r="E34" s="51"/>
      <c r="F34" s="51"/>
      <c r="G34" s="292" t="s">
        <v>428</v>
      </c>
    </row>
    <row r="35" spans="1:7" x14ac:dyDescent="0.25">
      <c r="B35" s="49" t="s">
        <v>429</v>
      </c>
      <c r="C35" s="50"/>
      <c r="D35" s="51"/>
      <c r="E35" s="51"/>
      <c r="F35" s="51"/>
    </row>
    <row r="36" spans="1:7" x14ac:dyDescent="0.25">
      <c r="B36" s="49" t="s">
        <v>430</v>
      </c>
      <c r="C36" s="50">
        <v>0.16800000000000001</v>
      </c>
      <c r="D36" s="51"/>
      <c r="E36" s="51"/>
      <c r="F36" s="51"/>
      <c r="G36" s="292" t="s">
        <v>431</v>
      </c>
    </row>
    <row r="37" spans="1:7" x14ac:dyDescent="0.25">
      <c r="B37" s="49" t="s">
        <v>432</v>
      </c>
      <c r="C37" s="50">
        <v>1.7999999999999999E-2</v>
      </c>
      <c r="D37" s="51"/>
      <c r="E37" s="51"/>
      <c r="F37" s="51"/>
    </row>
    <row r="38" spans="1:7" x14ac:dyDescent="0.25">
      <c r="B38" s="49" t="s">
        <v>433</v>
      </c>
      <c r="C38" s="50">
        <f>15.7%-C39</f>
        <v>7.6999999999999999E-2</v>
      </c>
      <c r="D38" s="51"/>
      <c r="E38" s="51"/>
      <c r="F38" s="51"/>
      <c r="G38" s="292" t="s">
        <v>434</v>
      </c>
    </row>
    <row r="39" spans="1:7" x14ac:dyDescent="0.25">
      <c r="B39" s="49" t="s">
        <v>435</v>
      </c>
      <c r="C39" s="50">
        <v>0.08</v>
      </c>
      <c r="D39" s="51"/>
      <c r="E39" s="51"/>
      <c r="F39" s="51"/>
    </row>
    <row r="40" spans="1:7" x14ac:dyDescent="0.25">
      <c r="B40" s="49" t="s">
        <v>436</v>
      </c>
      <c r="C40" s="50">
        <v>1.4E-2</v>
      </c>
      <c r="D40" s="51"/>
      <c r="E40" s="51"/>
      <c r="F40" s="51"/>
      <c r="G40" s="292" t="s">
        <v>437</v>
      </c>
    </row>
    <row r="41" spans="1:7" x14ac:dyDescent="0.25">
      <c r="B41" s="49" t="s">
        <v>438</v>
      </c>
      <c r="C41" s="50">
        <v>0.217</v>
      </c>
      <c r="D41" s="51"/>
      <c r="E41" s="51"/>
      <c r="F41" s="51"/>
      <c r="G41" s="292" t="s">
        <v>439</v>
      </c>
    </row>
    <row r="42" spans="1:7" x14ac:dyDescent="0.25">
      <c r="B42" s="49" t="s">
        <v>440</v>
      </c>
      <c r="C42" s="50">
        <v>0.13700000000000001</v>
      </c>
      <c r="D42" s="51"/>
      <c r="E42" s="51"/>
      <c r="F42" s="51"/>
      <c r="G42" s="292" t="s">
        <v>441</v>
      </c>
    </row>
    <row r="43" spans="1:7" x14ac:dyDescent="0.25">
      <c r="B43" s="49" t="s">
        <v>68</v>
      </c>
      <c r="C43" s="50">
        <v>2.1999999999999999E-2</v>
      </c>
      <c r="D43" s="51"/>
      <c r="E43" s="51"/>
      <c r="F43" s="51"/>
    </row>
    <row r="44" spans="1:7" x14ac:dyDescent="0.25">
      <c r="B44" s="49"/>
      <c r="C44" s="50"/>
      <c r="D44" s="51"/>
      <c r="E44" s="51"/>
      <c r="F44" s="51"/>
    </row>
    <row r="45" spans="1:7" x14ac:dyDescent="0.25">
      <c r="A45" s="283"/>
      <c r="B45" s="283"/>
      <c r="C45" s="52">
        <f>SUM(C34:C44)</f>
        <v>1</v>
      </c>
      <c r="D45" s="283"/>
      <c r="E45" s="283"/>
    </row>
  </sheetData>
  <sheetProtection algorithmName="SHA-512" hashValue="VQVwqaHTs1xSQ7fkzMLBUMsHXCIAAcgseGZflcr3DPHw+M7fzROOraqx1cxCllcLxwoUXsGPAUro2w3WdmNdNg==" saltValue="jP0XQ8a7/19zVHG2ntGYGw==" spinCount="100000" sheet="1" objects="1" scenarios="1" selectLockedCells="1" selectUnlockedCells="1"/>
  <mergeCells count="6">
    <mergeCell ref="B2:C2"/>
    <mergeCell ref="D2:F2"/>
    <mergeCell ref="B17:C17"/>
    <mergeCell ref="D17:F17"/>
    <mergeCell ref="B32:C32"/>
    <mergeCell ref="D32:F32"/>
  </mergeCell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tabColor rgb="FFFF0000"/>
    <pageSetUpPr fitToPage="1"/>
  </sheetPr>
  <dimension ref="A1:XFC47"/>
  <sheetViews>
    <sheetView zoomScaleNormal="100" workbookViewId="0">
      <selection activeCell="B7" sqref="B7:H7"/>
    </sheetView>
  </sheetViews>
  <sheetFormatPr defaultColWidth="8.7109375" defaultRowHeight="15" x14ac:dyDescent="0.25"/>
  <cols>
    <col min="1" max="1" width="11.28515625" customWidth="1"/>
    <col min="11" max="11" width="47.7109375" customWidth="1"/>
  </cols>
  <sheetData>
    <row r="1" spans="1:16383" ht="16.149999999999999" customHeight="1" x14ac:dyDescent="0.25">
      <c r="A1" s="1805" t="s">
        <v>500</v>
      </c>
      <c r="B1" s="833"/>
      <c r="C1" s="833"/>
      <c r="D1" s="833"/>
      <c r="E1" s="833"/>
      <c r="F1" s="833"/>
      <c r="G1" s="833"/>
      <c r="H1" s="833"/>
      <c r="I1" s="833"/>
      <c r="J1" s="833"/>
      <c r="K1" s="399">
        <f>VersionNo.</f>
        <v>2024.08</v>
      </c>
      <c r="M1" t="s">
        <v>924</v>
      </c>
    </row>
    <row r="2" spans="1:16383" x14ac:dyDescent="0.25">
      <c r="A2" s="1815" t="s">
        <v>501</v>
      </c>
      <c r="B2" s="1816"/>
      <c r="C2" s="1816"/>
      <c r="D2" s="1816"/>
      <c r="E2" s="1816"/>
      <c r="F2" s="1816"/>
      <c r="G2" s="1816"/>
      <c r="H2" s="1816"/>
      <c r="I2" s="1816"/>
      <c r="J2" s="1816"/>
      <c r="K2" s="707"/>
    </row>
    <row r="3" spans="1:16383" x14ac:dyDescent="0.25">
      <c r="A3" s="1806" t="s">
        <v>91</v>
      </c>
      <c r="B3" s="1807"/>
      <c r="C3" s="1807"/>
      <c r="D3" s="1808"/>
      <c r="E3" s="1817" t="str">
        <f>IF('3 Project Information'!E7="","",'3 Project Information'!E7)</f>
        <v/>
      </c>
      <c r="F3" s="1818"/>
      <c r="G3" s="1818"/>
      <c r="H3" s="1818"/>
      <c r="I3" s="1818"/>
      <c r="J3" s="1818"/>
      <c r="K3" s="1819"/>
    </row>
    <row r="4" spans="1:16383" x14ac:dyDescent="0.25">
      <c r="A4" s="1809"/>
      <c r="B4" s="1810"/>
      <c r="C4" s="1810"/>
      <c r="D4" s="1811"/>
      <c r="E4" s="1820" t="str">
        <f>IF('3 Project Information'!E8="","",'3 Project Information'!E8)</f>
        <v/>
      </c>
      <c r="F4" s="1821"/>
      <c r="G4" s="1821"/>
      <c r="H4" s="1821"/>
      <c r="I4" s="1821"/>
      <c r="J4" s="1821"/>
      <c r="K4" s="1822"/>
    </row>
    <row r="5" spans="1:16383" x14ac:dyDescent="0.25">
      <c r="A5" s="1809"/>
      <c r="B5" s="1810"/>
      <c r="C5" s="1810"/>
      <c r="D5" s="1811"/>
      <c r="E5" s="1823" t="str">
        <f>IF('3 Project Information'!E9="","",'3 Project Information'!E9)</f>
        <v/>
      </c>
      <c r="F5" s="1824"/>
      <c r="G5" s="1824"/>
      <c r="H5" s="1824"/>
      <c r="I5" s="1824"/>
      <c r="J5" s="1824"/>
      <c r="K5" s="1825"/>
    </row>
    <row r="6" spans="1:16383" s="401" customFormat="1" ht="31.5" customHeight="1" x14ac:dyDescent="0.25">
      <c r="A6" s="400" t="s">
        <v>86</v>
      </c>
      <c r="B6" s="1826" t="s">
        <v>502</v>
      </c>
      <c r="C6" s="1826"/>
      <c r="D6" s="1826"/>
      <c r="E6" s="1826"/>
      <c r="F6" s="1826"/>
      <c r="G6" s="1826"/>
      <c r="H6" s="1826"/>
      <c r="I6" s="1826" t="s">
        <v>503</v>
      </c>
      <c r="J6" s="1826"/>
      <c r="K6" s="400" t="s">
        <v>374</v>
      </c>
    </row>
    <row r="7" spans="1:16383" s="401" customFormat="1" ht="143.25" customHeight="1" x14ac:dyDescent="0.25">
      <c r="A7" s="1831" t="s">
        <v>112</v>
      </c>
      <c r="B7" s="1827" t="s">
        <v>504</v>
      </c>
      <c r="C7" s="1127"/>
      <c r="D7" s="1127"/>
      <c r="E7" s="1127"/>
      <c r="F7" s="1127"/>
      <c r="G7" s="1127"/>
      <c r="H7" s="1127"/>
      <c r="I7" s="1786"/>
      <c r="J7" s="1786"/>
      <c r="K7" s="245" t="s">
        <v>926</v>
      </c>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row>
    <row r="8" spans="1:16383" s="401" customFormat="1" ht="47.25" customHeight="1" x14ac:dyDescent="0.25">
      <c r="A8" s="1831"/>
      <c r="B8" s="1812" t="s">
        <v>927</v>
      </c>
      <c r="C8" s="1813"/>
      <c r="D8" s="1813"/>
      <c r="E8" s="1813"/>
      <c r="F8" s="1813"/>
      <c r="G8" s="1813"/>
      <c r="H8" s="1814"/>
      <c r="I8" s="1830"/>
      <c r="J8" s="1664"/>
      <c r="K8" s="311" t="s">
        <v>823</v>
      </c>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row>
    <row r="9" spans="1:16383" s="401" customFormat="1" ht="48.4" customHeight="1" x14ac:dyDescent="0.25">
      <c r="A9" s="1831"/>
      <c r="B9" s="1788" t="s">
        <v>928</v>
      </c>
      <c r="C9" s="1789"/>
      <c r="D9" s="1789"/>
      <c r="E9" s="1789"/>
      <c r="F9" s="1789"/>
      <c r="G9" s="1789"/>
      <c r="H9" s="1790"/>
      <c r="I9" s="1830"/>
      <c r="J9" s="1664"/>
      <c r="K9" s="311" t="s">
        <v>823</v>
      </c>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row>
    <row r="10" spans="1:16383" s="401" customFormat="1" ht="29.65" customHeight="1" x14ac:dyDescent="0.25">
      <c r="A10" s="402" t="s">
        <v>798</v>
      </c>
      <c r="B10" s="1135" t="s">
        <v>108</v>
      </c>
      <c r="C10" s="1835"/>
      <c r="D10" s="1835"/>
      <c r="E10" s="1835"/>
      <c r="F10" s="1835"/>
      <c r="G10" s="1835"/>
      <c r="H10" s="1835"/>
      <c r="I10" s="1835"/>
      <c r="J10" s="1836"/>
      <c r="K10" s="403"/>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row>
    <row r="11" spans="1:16383" s="401" customFormat="1" ht="102" customHeight="1" x14ac:dyDescent="0.25">
      <c r="A11" s="1828" t="s">
        <v>813</v>
      </c>
      <c r="B11" s="1837" t="s">
        <v>820</v>
      </c>
      <c r="C11" s="1837"/>
      <c r="D11" s="1837"/>
      <c r="E11" s="1837"/>
      <c r="F11" s="1837"/>
      <c r="G11" s="1837"/>
      <c r="H11" s="1837"/>
      <c r="I11" s="1786"/>
      <c r="J11" s="1786"/>
      <c r="K11" s="268" t="s">
        <v>940</v>
      </c>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row>
    <row r="12" spans="1:16383" s="401" customFormat="1" ht="44.25" customHeight="1" x14ac:dyDescent="0.25">
      <c r="A12" s="1829"/>
      <c r="B12" s="1788" t="s">
        <v>942</v>
      </c>
      <c r="C12" s="1789"/>
      <c r="D12" s="1789"/>
      <c r="E12" s="1789"/>
      <c r="F12" s="1789"/>
      <c r="G12" s="1789"/>
      <c r="H12" s="1790"/>
      <c r="I12" s="1830"/>
      <c r="J12" s="1664"/>
      <c r="K12" s="311" t="s">
        <v>823</v>
      </c>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row>
    <row r="13" spans="1:16383" s="401" customFormat="1" ht="58.5" customHeight="1" x14ac:dyDescent="0.25">
      <c r="A13" s="402" t="s">
        <v>814</v>
      </c>
      <c r="B13" s="1772" t="s">
        <v>941</v>
      </c>
      <c r="C13" s="1772"/>
      <c r="D13" s="1772"/>
      <c r="E13" s="1772"/>
      <c r="F13" s="1772"/>
      <c r="G13" s="1772"/>
      <c r="H13" s="1772"/>
      <c r="I13" s="1771"/>
      <c r="J13" s="1771"/>
      <c r="K13" s="311" t="s">
        <v>823</v>
      </c>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row>
    <row r="14" spans="1:16383" s="401" customFormat="1" ht="87.4" customHeight="1" x14ac:dyDescent="0.25">
      <c r="A14" s="402" t="s">
        <v>815</v>
      </c>
      <c r="B14" s="1772" t="s">
        <v>976</v>
      </c>
      <c r="C14" s="1772"/>
      <c r="D14" s="1772"/>
      <c r="E14" s="1772"/>
      <c r="F14" s="1772"/>
      <c r="G14" s="1772"/>
      <c r="H14" s="1772"/>
      <c r="I14" s="1771"/>
      <c r="J14" s="1771"/>
      <c r="K14" s="311" t="s">
        <v>823</v>
      </c>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row>
    <row r="15" spans="1:16383" s="401" customFormat="1" ht="30" hidden="1" x14ac:dyDescent="0.25">
      <c r="A15" s="404" t="s">
        <v>874</v>
      </c>
      <c r="B15" s="1838" t="s">
        <v>778</v>
      </c>
      <c r="C15" s="1838"/>
      <c r="D15" s="1838"/>
      <c r="E15" s="1838"/>
      <c r="F15" s="1838"/>
      <c r="G15" s="1838"/>
      <c r="H15" s="1838"/>
      <c r="I15" s="1771"/>
      <c r="J15" s="1771"/>
      <c r="K15" s="311" t="s">
        <v>823</v>
      </c>
      <c r="L15" s="1832" t="s">
        <v>832</v>
      </c>
      <c r="M15" s="1833"/>
      <c r="N15" s="1833"/>
      <c r="O15" s="1833"/>
      <c r="P15" s="1833"/>
      <c r="Q15" s="1834"/>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row>
    <row r="16" spans="1:16383" s="401" customFormat="1" ht="58.5" customHeight="1" x14ac:dyDescent="0.25">
      <c r="A16" s="402" t="s">
        <v>816</v>
      </c>
      <c r="B16" s="1772" t="s">
        <v>922</v>
      </c>
      <c r="C16" s="1772"/>
      <c r="D16" s="1772"/>
      <c r="E16" s="1772"/>
      <c r="F16" s="1772"/>
      <c r="G16" s="1772"/>
      <c r="H16" s="1772"/>
      <c r="I16" s="1771"/>
      <c r="J16" s="1771"/>
      <c r="K16" s="405"/>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row>
    <row r="17" spans="1:16383" s="401" customFormat="1" ht="88.5" customHeight="1" x14ac:dyDescent="0.25">
      <c r="A17" s="406" t="s">
        <v>880</v>
      </c>
      <c r="B17" s="486" t="s">
        <v>943</v>
      </c>
      <c r="C17" s="486"/>
      <c r="D17" s="486"/>
      <c r="E17" s="486"/>
      <c r="F17" s="486"/>
      <c r="G17" s="486"/>
      <c r="H17" s="486"/>
      <c r="I17" s="1771"/>
      <c r="J17" s="1771"/>
      <c r="K17" s="311" t="s">
        <v>823</v>
      </c>
      <c r="L17" s="700"/>
      <c r="M17" s="700"/>
      <c r="N17" s="700"/>
      <c r="O17" s="700"/>
      <c r="P17" s="700"/>
      <c r="Q17" s="700"/>
      <c r="R17" s="700"/>
      <c r="S17" s="700"/>
      <c r="T17" s="700"/>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s="401" customFormat="1" ht="30.4" customHeight="1" x14ac:dyDescent="0.25">
      <c r="A18" s="407" t="s">
        <v>833</v>
      </c>
      <c r="B18" s="1842" t="s">
        <v>923</v>
      </c>
      <c r="C18" s="1843"/>
      <c r="D18" s="1843"/>
      <c r="E18" s="1843"/>
      <c r="F18" s="1843"/>
      <c r="G18" s="1843"/>
      <c r="H18" s="1844"/>
      <c r="I18" s="1845"/>
      <c r="J18" s="1846"/>
      <c r="K18" s="40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row>
    <row r="19" spans="1:16383" s="401" customFormat="1" ht="46.5" customHeight="1" x14ac:dyDescent="0.25">
      <c r="A19" s="402" t="s">
        <v>799</v>
      </c>
      <c r="B19" s="1764" t="s">
        <v>111</v>
      </c>
      <c r="C19" s="1765"/>
      <c r="D19" s="1765"/>
      <c r="E19" s="1765"/>
      <c r="F19" s="1765"/>
      <c r="G19" s="1765"/>
      <c r="H19" s="1765"/>
      <c r="I19" s="1765"/>
      <c r="J19" s="1766"/>
      <c r="K19" s="403"/>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row>
    <row r="20" spans="1:16383" s="401" customFormat="1" ht="29.25" customHeight="1" x14ac:dyDescent="0.25">
      <c r="A20" s="406" t="s">
        <v>817</v>
      </c>
      <c r="B20" s="486" t="s">
        <v>781</v>
      </c>
      <c r="C20" s="486"/>
      <c r="D20" s="486"/>
      <c r="E20" s="486"/>
      <c r="F20" s="486"/>
      <c r="G20" s="486"/>
      <c r="H20" s="486"/>
      <c r="I20" s="1771"/>
      <c r="J20" s="1771"/>
      <c r="K20" s="311" t="s">
        <v>823</v>
      </c>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row>
    <row r="21" spans="1:16383" s="401" customFormat="1" ht="29.65" customHeight="1" x14ac:dyDescent="0.25">
      <c r="A21" s="406" t="s">
        <v>977</v>
      </c>
      <c r="B21" s="486" t="s">
        <v>969</v>
      </c>
      <c r="C21" s="486"/>
      <c r="D21" s="486"/>
      <c r="E21" s="486"/>
      <c r="F21" s="486"/>
      <c r="G21" s="486"/>
      <c r="H21" s="486"/>
      <c r="I21" s="1771"/>
      <c r="J21" s="1771"/>
      <c r="K21" s="311" t="s">
        <v>823</v>
      </c>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row>
    <row r="22" spans="1:16383" s="401" customFormat="1" ht="59.25" customHeight="1" x14ac:dyDescent="0.25">
      <c r="A22" s="1760" t="s">
        <v>818</v>
      </c>
      <c r="B22" s="578" t="s">
        <v>836</v>
      </c>
      <c r="C22" s="578"/>
      <c r="D22" s="578"/>
      <c r="E22" s="578"/>
      <c r="F22" s="578"/>
      <c r="G22" s="578"/>
      <c r="H22" s="578"/>
      <c r="I22" s="1786"/>
      <c r="J22" s="1786"/>
      <c r="K22" s="409" t="s">
        <v>823</v>
      </c>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row>
    <row r="23" spans="1:16383" s="401" customFormat="1" ht="30" customHeight="1" x14ac:dyDescent="0.25">
      <c r="A23" s="1761"/>
      <c r="B23" s="1773" t="s">
        <v>877</v>
      </c>
      <c r="C23" s="1774"/>
      <c r="D23" s="1774"/>
      <c r="E23" s="1774"/>
      <c r="F23" s="1774"/>
      <c r="G23" s="1774"/>
      <c r="H23" s="1775"/>
      <c r="I23" s="1767"/>
      <c r="J23" s="1767"/>
      <c r="K23" s="311" t="s">
        <v>823</v>
      </c>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row>
    <row r="24" spans="1:16383" s="401" customFormat="1" ht="29.25" customHeight="1" x14ac:dyDescent="0.25">
      <c r="A24" s="1760" t="s">
        <v>819</v>
      </c>
      <c r="B24" s="578" t="s">
        <v>945</v>
      </c>
      <c r="C24" s="578"/>
      <c r="D24" s="578"/>
      <c r="E24" s="578"/>
      <c r="F24" s="578"/>
      <c r="G24" s="578"/>
      <c r="H24" s="578"/>
      <c r="I24" s="1786"/>
      <c r="J24" s="1786"/>
      <c r="K24" s="1840"/>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row>
    <row r="25" spans="1:16383" s="401" customFormat="1" ht="30.75" customHeight="1" x14ac:dyDescent="0.25">
      <c r="A25" s="1761"/>
      <c r="B25" s="1768" t="s">
        <v>946</v>
      </c>
      <c r="C25" s="1769"/>
      <c r="D25" s="1769"/>
      <c r="E25" s="1769"/>
      <c r="F25" s="1769"/>
      <c r="G25" s="1769"/>
      <c r="H25" s="1770"/>
      <c r="I25" s="1771"/>
      <c r="J25" s="1771"/>
      <c r="K25" s="1841"/>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row>
    <row r="26" spans="1:16383" s="401" customFormat="1" ht="86.65" customHeight="1" x14ac:dyDescent="0.25">
      <c r="A26" s="1760" t="s">
        <v>803</v>
      </c>
      <c r="B26" s="578" t="s">
        <v>875</v>
      </c>
      <c r="C26" s="1787"/>
      <c r="D26" s="1787"/>
      <c r="E26" s="1787"/>
      <c r="F26" s="1787"/>
      <c r="G26" s="1787"/>
      <c r="H26" s="1787"/>
      <c r="I26" s="1771"/>
      <c r="J26" s="1771"/>
      <c r="K26" s="1839" t="s">
        <v>822</v>
      </c>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row>
    <row r="27" spans="1:16383" s="401" customFormat="1" ht="15" customHeight="1" x14ac:dyDescent="0.25">
      <c r="A27" s="1791"/>
      <c r="B27" s="1794" t="s">
        <v>878</v>
      </c>
      <c r="C27" s="1795"/>
      <c r="D27" s="1795"/>
      <c r="E27" s="1795"/>
      <c r="F27" s="1795"/>
      <c r="G27" s="1795"/>
      <c r="H27" s="1796"/>
      <c r="I27" s="1797"/>
      <c r="J27" s="1798"/>
      <c r="K27" s="1113"/>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row>
    <row r="28" spans="1:16383" s="401" customFormat="1" ht="30" customHeight="1" x14ac:dyDescent="0.25">
      <c r="A28" s="1792"/>
      <c r="B28" s="1768" t="s">
        <v>879</v>
      </c>
      <c r="C28" s="1769"/>
      <c r="D28" s="1769"/>
      <c r="E28" s="1769"/>
      <c r="F28" s="1769"/>
      <c r="G28" s="1769"/>
      <c r="H28" s="1770"/>
      <c r="I28" s="1771"/>
      <c r="J28" s="1771"/>
      <c r="K28" s="311" t="s">
        <v>823</v>
      </c>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row>
    <row r="29" spans="1:16383" ht="58.15" customHeight="1" x14ac:dyDescent="0.25">
      <c r="A29" s="1799" t="s">
        <v>197</v>
      </c>
      <c r="B29" s="927" t="s">
        <v>953</v>
      </c>
      <c r="C29" s="929"/>
      <c r="D29" s="929"/>
      <c r="E29" s="929"/>
      <c r="F29" s="929"/>
      <c r="G29" s="929"/>
      <c r="H29" s="930"/>
      <c r="I29" s="1762"/>
      <c r="J29" s="1763"/>
      <c r="K29" s="410" t="s">
        <v>930</v>
      </c>
    </row>
    <row r="30" spans="1:16383" ht="48" customHeight="1" x14ac:dyDescent="0.25">
      <c r="A30" s="1800"/>
      <c r="B30" s="1788" t="s">
        <v>955</v>
      </c>
      <c r="C30" s="1789"/>
      <c r="D30" s="1789"/>
      <c r="E30" s="1789"/>
      <c r="F30" s="1789"/>
      <c r="G30" s="1789"/>
      <c r="H30" s="1790"/>
      <c r="I30" s="1801"/>
      <c r="J30" s="1361"/>
      <c r="K30" s="411"/>
    </row>
    <row r="31" spans="1:16383" ht="30.4" customHeight="1" x14ac:dyDescent="0.25">
      <c r="A31" s="1800"/>
      <c r="B31" s="1788" t="s">
        <v>917</v>
      </c>
      <c r="C31" s="1789"/>
      <c r="D31" s="1789"/>
      <c r="E31" s="1789"/>
      <c r="F31" s="1789"/>
      <c r="G31" s="1789"/>
      <c r="H31" s="1790"/>
      <c r="I31" s="1793"/>
      <c r="J31" s="1793"/>
      <c r="K31" s="411"/>
    </row>
    <row r="32" spans="1:16383" ht="45" customHeight="1" x14ac:dyDescent="0.25">
      <c r="A32" s="412"/>
      <c r="B32" s="1788" t="s">
        <v>944</v>
      </c>
      <c r="C32" s="1789"/>
      <c r="D32" s="1789"/>
      <c r="E32" s="1789"/>
      <c r="F32" s="1789"/>
      <c r="G32" s="1789"/>
      <c r="H32" s="1790"/>
      <c r="I32" s="1801"/>
      <c r="J32" s="1361"/>
      <c r="K32" s="411"/>
    </row>
    <row r="33" spans="1:11" ht="58.15" customHeight="1" x14ac:dyDescent="0.25">
      <c r="A33" s="406" t="s">
        <v>198</v>
      </c>
      <c r="B33" s="643" t="s">
        <v>912</v>
      </c>
      <c r="C33" s="615"/>
      <c r="D33" s="615"/>
      <c r="E33" s="615"/>
      <c r="F33" s="615"/>
      <c r="G33" s="615"/>
      <c r="H33" s="615"/>
      <c r="I33" s="1771"/>
      <c r="J33" s="1771"/>
      <c r="K33" s="311" t="s">
        <v>823</v>
      </c>
    </row>
    <row r="34" spans="1:11" x14ac:dyDescent="0.25">
      <c r="A34" s="1802" t="s">
        <v>821</v>
      </c>
      <c r="B34" s="1802"/>
      <c r="C34" s="1802"/>
      <c r="D34" s="1802"/>
      <c r="E34" s="1802"/>
      <c r="F34" s="1802"/>
      <c r="G34" s="1802"/>
      <c r="H34" s="1802"/>
      <c r="I34" s="1802"/>
      <c r="J34" s="1802"/>
      <c r="K34" s="444"/>
    </row>
    <row r="35" spans="1:11" ht="18" customHeight="1" x14ac:dyDescent="0.25">
      <c r="A35" s="643" t="s">
        <v>505</v>
      </c>
      <c r="B35" s="643"/>
      <c r="C35" s="643"/>
      <c r="D35" s="643"/>
      <c r="E35" s="643"/>
      <c r="F35" s="643"/>
      <c r="G35" s="643"/>
      <c r="H35" s="643"/>
      <c r="I35" s="643"/>
      <c r="J35" s="643"/>
      <c r="K35" s="1803"/>
    </row>
    <row r="36" spans="1:11" ht="15" customHeight="1" x14ac:dyDescent="0.25">
      <c r="A36" s="1783" t="s">
        <v>506</v>
      </c>
      <c r="B36" s="1784"/>
      <c r="C36" s="1784"/>
      <c r="D36" s="1784"/>
      <c r="E36" s="1784"/>
      <c r="F36" s="1784"/>
      <c r="G36" s="1784"/>
      <c r="H36" s="1784"/>
      <c r="I36" s="1784"/>
      <c r="J36" s="1784"/>
      <c r="K36" s="444"/>
    </row>
    <row r="37" spans="1:11" ht="15" customHeight="1" x14ac:dyDescent="0.25">
      <c r="A37" s="469" t="s">
        <v>507</v>
      </c>
      <c r="B37" s="1785"/>
      <c r="C37" s="1785"/>
      <c r="D37" s="1785"/>
      <c r="E37" s="1776"/>
      <c r="F37" s="1776"/>
      <c r="G37" s="1776"/>
      <c r="H37" s="1776"/>
      <c r="I37" s="1776"/>
      <c r="J37" s="1776"/>
      <c r="K37" s="1777"/>
    </row>
    <row r="38" spans="1:11" ht="15" customHeight="1" x14ac:dyDescent="0.25">
      <c r="A38" s="1804" t="s">
        <v>508</v>
      </c>
      <c r="B38" s="615"/>
      <c r="C38" s="615"/>
      <c r="D38" s="615"/>
      <c r="E38" s="1776"/>
      <c r="F38" s="1776"/>
      <c r="G38" s="1776"/>
      <c r="H38" s="1776"/>
      <c r="I38" s="1776"/>
      <c r="J38" s="1776"/>
      <c r="K38" s="1777"/>
    </row>
    <row r="39" spans="1:11" ht="15" customHeight="1" x14ac:dyDescent="0.25">
      <c r="A39" s="1804" t="s">
        <v>509</v>
      </c>
      <c r="B39" s="615"/>
      <c r="C39" s="615"/>
      <c r="D39" s="615"/>
      <c r="E39" s="1778"/>
      <c r="F39" s="1779"/>
      <c r="G39" s="1779"/>
      <c r="H39" s="1779"/>
      <c r="I39" s="1779"/>
      <c r="J39" s="1779"/>
      <c r="K39" s="1777"/>
    </row>
    <row r="40" spans="1:11" x14ac:dyDescent="0.25">
      <c r="A40" s="469" t="s">
        <v>510</v>
      </c>
      <c r="B40" s="1785"/>
      <c r="C40" s="1785"/>
      <c r="D40" s="1785"/>
      <c r="E40" s="1776"/>
      <c r="F40" s="1780"/>
      <c r="G40" s="1780"/>
      <c r="H40" s="1780"/>
      <c r="I40" s="1780"/>
      <c r="J40" s="1780"/>
      <c r="K40" s="1780"/>
    </row>
    <row r="41" spans="1:11" ht="30" customHeight="1" x14ac:dyDescent="0.25">
      <c r="A41" s="469" t="s">
        <v>511</v>
      </c>
      <c r="B41" s="1785"/>
      <c r="C41" s="1785"/>
      <c r="D41" s="1785"/>
      <c r="E41" s="1781"/>
      <c r="F41" s="1781"/>
      <c r="G41" s="1781"/>
      <c r="H41" s="1781"/>
      <c r="I41" s="1781"/>
      <c r="J41" s="1781"/>
      <c r="K41" s="1782"/>
    </row>
    <row r="42" spans="1:11" x14ac:dyDescent="0.25">
      <c r="A42" s="1783" t="s">
        <v>512</v>
      </c>
      <c r="B42" s="1784"/>
      <c r="C42" s="1784"/>
      <c r="D42" s="1784"/>
      <c r="E42" s="1784"/>
      <c r="F42" s="1784"/>
      <c r="G42" s="1784"/>
      <c r="H42" s="1784"/>
      <c r="I42" s="1784"/>
      <c r="J42" s="1784"/>
      <c r="K42" s="444"/>
    </row>
    <row r="43" spans="1:11" x14ac:dyDescent="0.25">
      <c r="A43" s="469" t="s">
        <v>507</v>
      </c>
      <c r="B43" s="1785"/>
      <c r="C43" s="1785"/>
      <c r="D43" s="1785"/>
      <c r="E43" s="1776"/>
      <c r="F43" s="1776"/>
      <c r="G43" s="1776"/>
      <c r="H43" s="1776"/>
      <c r="I43" s="1776"/>
      <c r="J43" s="1776"/>
      <c r="K43" s="1777"/>
    </row>
    <row r="44" spans="1:11" ht="14.25" customHeight="1" x14ac:dyDescent="0.25">
      <c r="A44" s="1804" t="s">
        <v>508</v>
      </c>
      <c r="B44" s="615"/>
      <c r="C44" s="615"/>
      <c r="D44" s="615"/>
      <c r="E44" s="1776"/>
      <c r="F44" s="1776"/>
      <c r="G44" s="1776"/>
      <c r="H44" s="1776"/>
      <c r="I44" s="1776"/>
      <c r="J44" s="1776"/>
      <c r="K44" s="1777"/>
    </row>
    <row r="45" spans="1:11" ht="14.25" customHeight="1" x14ac:dyDescent="0.25">
      <c r="A45" s="1804" t="s">
        <v>509</v>
      </c>
      <c r="B45" s="615"/>
      <c r="C45" s="615"/>
      <c r="D45" s="615"/>
      <c r="E45" s="1778"/>
      <c r="F45" s="1779"/>
      <c r="G45" s="1779"/>
      <c r="H45" s="1779"/>
      <c r="I45" s="1779"/>
      <c r="J45" s="1779"/>
      <c r="K45" s="1777"/>
    </row>
    <row r="46" spans="1:11" x14ac:dyDescent="0.25">
      <c r="A46" s="469" t="s">
        <v>510</v>
      </c>
      <c r="B46" s="1785"/>
      <c r="C46" s="1785"/>
      <c r="D46" s="1785"/>
      <c r="E46" s="1776"/>
      <c r="F46" s="1780"/>
      <c r="G46" s="1780"/>
      <c r="H46" s="1780"/>
      <c r="I46" s="1780"/>
      <c r="J46" s="1780"/>
      <c r="K46" s="1780"/>
    </row>
    <row r="47" spans="1:11" ht="30" customHeight="1" x14ac:dyDescent="0.25">
      <c r="A47" s="469" t="s">
        <v>511</v>
      </c>
      <c r="B47" s="1785"/>
      <c r="C47" s="1785"/>
      <c r="D47" s="1785"/>
      <c r="E47" s="1781"/>
      <c r="F47" s="1781"/>
      <c r="G47" s="1781"/>
      <c r="H47" s="1781"/>
      <c r="I47" s="1781"/>
      <c r="J47" s="1781"/>
      <c r="K47" s="1782"/>
    </row>
  </sheetData>
  <sheetProtection algorithmName="SHA-512" hashValue="mMFrbw5OdhlTYrXkP8+SqG+XFeRwSQTw/w3pF+FDHqzWGQXyt9+EtP9ew6sopsUUiBsXOqx+NLh6Wk+rgx2xxg==" saltValue="LgwHEnaI21T1tftU1LfFQg==" spinCount="100000" sheet="1" objects="1" scenarios="1" formatRows="0" selectLockedCells="1"/>
  <mergeCells count="94">
    <mergeCell ref="K26:K27"/>
    <mergeCell ref="B20:H20"/>
    <mergeCell ref="I20:J20"/>
    <mergeCell ref="K24:K25"/>
    <mergeCell ref="I9:J9"/>
    <mergeCell ref="B17:H17"/>
    <mergeCell ref="I17:J17"/>
    <mergeCell ref="B22:H22"/>
    <mergeCell ref="I22:J22"/>
    <mergeCell ref="B18:H18"/>
    <mergeCell ref="I18:J18"/>
    <mergeCell ref="B21:H21"/>
    <mergeCell ref="I21:J21"/>
    <mergeCell ref="A7:A9"/>
    <mergeCell ref="I8:J8"/>
    <mergeCell ref="L15:Q15"/>
    <mergeCell ref="B10:J10"/>
    <mergeCell ref="B11:H11"/>
    <mergeCell ref="B13:H13"/>
    <mergeCell ref="I13:J13"/>
    <mergeCell ref="B14:H14"/>
    <mergeCell ref="I14:J14"/>
    <mergeCell ref="B15:H15"/>
    <mergeCell ref="I15:J15"/>
    <mergeCell ref="A1:J1"/>
    <mergeCell ref="A3:D5"/>
    <mergeCell ref="I11:J11"/>
    <mergeCell ref="B8:H8"/>
    <mergeCell ref="B9:H9"/>
    <mergeCell ref="A2:K2"/>
    <mergeCell ref="E3:K3"/>
    <mergeCell ref="E4:K4"/>
    <mergeCell ref="E5:K5"/>
    <mergeCell ref="B6:H6"/>
    <mergeCell ref="I6:J6"/>
    <mergeCell ref="B7:H7"/>
    <mergeCell ref="I7:J7"/>
    <mergeCell ref="A11:A12"/>
    <mergeCell ref="B12:H12"/>
    <mergeCell ref="I12:J12"/>
    <mergeCell ref="E45:K45"/>
    <mergeCell ref="E46:K46"/>
    <mergeCell ref="E47:K47"/>
    <mergeCell ref="A34:K34"/>
    <mergeCell ref="A35:K35"/>
    <mergeCell ref="A36:K36"/>
    <mergeCell ref="E37:K37"/>
    <mergeCell ref="E38:K38"/>
    <mergeCell ref="A46:D46"/>
    <mergeCell ref="A47:D47"/>
    <mergeCell ref="A45:D45"/>
    <mergeCell ref="A38:D38"/>
    <mergeCell ref="A39:D39"/>
    <mergeCell ref="A40:D40"/>
    <mergeCell ref="A41:D41"/>
    <mergeCell ref="A44:D44"/>
    <mergeCell ref="B30:H30"/>
    <mergeCell ref="B33:H33"/>
    <mergeCell ref="I33:J33"/>
    <mergeCell ref="A26:A28"/>
    <mergeCell ref="B31:H31"/>
    <mergeCell ref="I31:J31"/>
    <mergeCell ref="B27:H27"/>
    <mergeCell ref="I27:J27"/>
    <mergeCell ref="I28:J28"/>
    <mergeCell ref="B28:H28"/>
    <mergeCell ref="A29:A31"/>
    <mergeCell ref="I30:J30"/>
    <mergeCell ref="B32:H32"/>
    <mergeCell ref="I32:J32"/>
    <mergeCell ref="L17:T17"/>
    <mergeCell ref="B16:H16"/>
    <mergeCell ref="I16:J16"/>
    <mergeCell ref="B23:H23"/>
    <mergeCell ref="E44:K44"/>
    <mergeCell ref="E39:K39"/>
    <mergeCell ref="E40:K40"/>
    <mergeCell ref="E41:K41"/>
    <mergeCell ref="A42:K42"/>
    <mergeCell ref="A43:D43"/>
    <mergeCell ref="E43:K43"/>
    <mergeCell ref="A37:D37"/>
    <mergeCell ref="B24:H24"/>
    <mergeCell ref="I24:J24"/>
    <mergeCell ref="B26:H26"/>
    <mergeCell ref="I26:J26"/>
    <mergeCell ref="A24:A25"/>
    <mergeCell ref="B29:H29"/>
    <mergeCell ref="I29:J29"/>
    <mergeCell ref="B19:J19"/>
    <mergeCell ref="I23:J23"/>
    <mergeCell ref="B25:H25"/>
    <mergeCell ref="I25:J25"/>
    <mergeCell ref="A22:A23"/>
  </mergeCells>
  <conditionalFormatting sqref="E3:J3">
    <cfRule type="containsText" dxfId="0" priority="1" operator="containsText" text="Not Met">
      <formula>NOT(ISERROR(SEARCH("Not Met",E3)))</formula>
    </cfRule>
  </conditionalFormatting>
  <dataValidations count="4">
    <dataValidation type="list" allowBlank="1" showInputMessage="1" showErrorMessage="1" sqref="I30:J30 I20:J21 I28:J28 I25:J26 I13:J17 I32:J32" xr:uid="{00000000-0002-0000-0E00-000000000000}">
      <formula1>YesNoOrNA</formula1>
    </dataValidation>
    <dataValidation type="list" allowBlank="1" showInputMessage="1" showErrorMessage="1" sqref="I12 I8:I9 I18:J18 I33:J33" xr:uid="{00000000-0002-0000-0E00-000001000000}">
      <formula1>YesOrNo</formula1>
    </dataValidation>
    <dataValidation type="list" allowBlank="1" showInputMessage="1" showErrorMessage="1" sqref="I23:J23" xr:uid="{00000000-0002-0000-0E00-000002000000}">
      <formula1>PointList38</formula1>
    </dataValidation>
    <dataValidation type="whole" allowBlank="1" showInputMessage="1" showErrorMessage="1" prompt="Eneter highest MERV rating the HVAC system filtration is designed for." sqref="I31:J31" xr:uid="{00000000-0002-0000-0E00-000003000000}">
      <formula1>0</formula1>
      <formula2>20</formula2>
    </dataValidation>
  </dataValidations>
  <printOptions horizontalCentered="1"/>
  <pageMargins left="0.25" right="0.25" top="0.75" bottom="0.75" header="0.3" footer="0.3"/>
  <pageSetup scale="74" fitToHeight="2" orientation="portrait" r:id="rId1"/>
  <headerFooter>
    <oddHeader>&amp;L&amp;F&amp;R&amp;A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5">
    <pageSetUpPr fitToPage="1"/>
  </sheetPr>
  <dimension ref="A1:P36"/>
  <sheetViews>
    <sheetView workbookViewId="0">
      <selection activeCell="H156" sqref="H156"/>
    </sheetView>
  </sheetViews>
  <sheetFormatPr defaultColWidth="8.85546875" defaultRowHeight="15" x14ac:dyDescent="0.25"/>
  <cols>
    <col min="1" max="1" width="8.85546875" style="81"/>
    <col min="2" max="2" width="12.5703125" customWidth="1"/>
    <col min="5" max="5" width="9.5703125" bestFit="1" customWidth="1"/>
    <col min="7" max="7" width="11.28515625" customWidth="1"/>
    <col min="9" max="9" width="9.85546875" customWidth="1"/>
    <col min="12" max="12" width="2.28515625" customWidth="1"/>
  </cols>
  <sheetData>
    <row r="1" spans="1:11" ht="75" customHeight="1" x14ac:dyDescent="0.25">
      <c r="A1" s="451"/>
      <c r="B1" s="450"/>
      <c r="C1" s="450"/>
      <c r="D1" s="452"/>
      <c r="E1" s="449" t="s">
        <v>1170</v>
      </c>
      <c r="F1" s="450"/>
      <c r="G1" s="94">
        <f>VersionNo.</f>
        <v>2024.08</v>
      </c>
      <c r="H1" s="446" t="s">
        <v>1163</v>
      </c>
      <c r="I1" s="447"/>
      <c r="J1" s="447"/>
      <c r="K1" s="448"/>
    </row>
    <row r="2" spans="1:11" ht="16.149999999999999" customHeight="1" x14ac:dyDescent="0.25">
      <c r="A2" s="95" t="s">
        <v>1069</v>
      </c>
      <c r="B2" s="453" t="s">
        <v>1164</v>
      </c>
      <c r="C2" s="453"/>
      <c r="D2" s="453"/>
      <c r="E2" s="453"/>
      <c r="F2" s="453"/>
      <c r="G2" s="453"/>
      <c r="H2" s="453"/>
      <c r="I2" s="453"/>
      <c r="J2" s="453"/>
      <c r="K2" s="453"/>
    </row>
    <row r="3" spans="1:11" ht="108.6" customHeight="1" x14ac:dyDescent="0.25">
      <c r="A3" s="456" t="s">
        <v>1327</v>
      </c>
      <c r="B3" s="457"/>
      <c r="C3" s="457"/>
      <c r="D3" s="457"/>
      <c r="E3" s="457"/>
      <c r="F3" s="457"/>
      <c r="G3" s="457"/>
      <c r="H3" s="457"/>
      <c r="I3" s="457"/>
      <c r="J3" s="457"/>
      <c r="K3" s="457"/>
    </row>
    <row r="4" spans="1:11" ht="16.149999999999999" customHeight="1" x14ac:dyDescent="0.25">
      <c r="A4" s="95" t="s">
        <v>1068</v>
      </c>
      <c r="B4" s="453" t="s">
        <v>1165</v>
      </c>
      <c r="C4" s="453"/>
      <c r="D4" s="453"/>
      <c r="E4" s="453"/>
      <c r="F4" s="453"/>
      <c r="G4" s="453"/>
      <c r="H4" s="453"/>
      <c r="I4" s="453"/>
      <c r="J4" s="453"/>
      <c r="K4" s="453"/>
    </row>
    <row r="5" spans="1:11" ht="30" x14ac:dyDescent="0.25">
      <c r="A5" s="130" t="s">
        <v>93</v>
      </c>
      <c r="B5" s="96" t="s">
        <v>772</v>
      </c>
      <c r="C5" s="97" t="s">
        <v>1067</v>
      </c>
      <c r="D5" s="98" t="s">
        <v>1066</v>
      </c>
      <c r="E5" s="444"/>
      <c r="F5" s="444"/>
      <c r="G5" s="444"/>
      <c r="H5" s="444"/>
      <c r="I5" s="444"/>
      <c r="J5" s="444"/>
      <c r="K5" s="444"/>
    </row>
    <row r="6" spans="1:11" x14ac:dyDescent="0.25">
      <c r="A6" s="99" t="s">
        <v>4</v>
      </c>
      <c r="B6" s="100">
        <v>67</v>
      </c>
      <c r="C6" s="101">
        <f>+B6*0.7</f>
        <v>46.9</v>
      </c>
      <c r="D6" s="102">
        <f>+B6*0.6</f>
        <v>40.199999999999996</v>
      </c>
      <c r="E6" s="444"/>
      <c r="F6" s="444"/>
      <c r="G6" s="444"/>
      <c r="H6" s="444"/>
      <c r="I6" s="444"/>
      <c r="J6" s="444"/>
      <c r="K6" s="444"/>
    </row>
    <row r="7" spans="1:11" x14ac:dyDescent="0.25">
      <c r="A7" s="99" t="s">
        <v>5</v>
      </c>
      <c r="B7" s="100">
        <v>72</v>
      </c>
      <c r="C7" s="101">
        <v>51</v>
      </c>
      <c r="D7" s="102">
        <f>+B7*0.6</f>
        <v>43.199999999999996</v>
      </c>
      <c r="E7" s="444"/>
      <c r="F7" s="444"/>
      <c r="G7" s="444"/>
      <c r="H7" s="444"/>
      <c r="I7" s="444"/>
      <c r="J7" s="444"/>
      <c r="K7" s="444"/>
    </row>
    <row r="8" spans="1:11" x14ac:dyDescent="0.25">
      <c r="A8" s="99" t="s">
        <v>1065</v>
      </c>
      <c r="B8" s="100">
        <v>74</v>
      </c>
      <c r="C8" s="101">
        <v>52</v>
      </c>
      <c r="D8" s="102">
        <f>+B8*0.6</f>
        <v>44.4</v>
      </c>
      <c r="E8" s="444"/>
      <c r="F8" s="444"/>
      <c r="G8" s="444"/>
      <c r="H8" s="444"/>
      <c r="I8" s="444"/>
      <c r="J8" s="444"/>
      <c r="K8" s="444"/>
    </row>
    <row r="9" spans="1:11" ht="15.75" x14ac:dyDescent="0.25">
      <c r="A9" s="458" t="s">
        <v>1177</v>
      </c>
      <c r="B9" s="458"/>
      <c r="C9" s="458"/>
      <c r="D9" s="458"/>
      <c r="E9" s="458"/>
      <c r="F9" s="458"/>
      <c r="G9" s="458"/>
      <c r="H9" s="458"/>
      <c r="I9" s="458"/>
      <c r="J9" s="458"/>
      <c r="K9" s="458"/>
    </row>
    <row r="10" spans="1:11" ht="16.149999999999999" customHeight="1" x14ac:dyDescent="0.25">
      <c r="A10" s="238">
        <v>1</v>
      </c>
      <c r="B10" s="238" t="s">
        <v>1062</v>
      </c>
      <c r="C10" s="440" t="s">
        <v>1131</v>
      </c>
      <c r="D10" s="440"/>
      <c r="E10" s="440"/>
      <c r="F10" s="440"/>
      <c r="G10" s="440"/>
      <c r="H10" s="440"/>
      <c r="I10" s="440"/>
      <c r="J10" s="440"/>
      <c r="K10" s="440"/>
    </row>
    <row r="11" spans="1:11" ht="48" customHeight="1" x14ac:dyDescent="0.25">
      <c r="A11" s="238">
        <v>2</v>
      </c>
      <c r="B11" s="238" t="s">
        <v>1062</v>
      </c>
      <c r="C11" s="440" t="s">
        <v>1132</v>
      </c>
      <c r="D11" s="440"/>
      <c r="E11" s="440"/>
      <c r="F11" s="440"/>
      <c r="G11" s="440"/>
      <c r="H11" s="440"/>
      <c r="I11" s="440"/>
      <c r="J11" s="440"/>
      <c r="K11" s="440"/>
    </row>
    <row r="12" spans="1:11" ht="16.149999999999999" customHeight="1" x14ac:dyDescent="0.25">
      <c r="A12" s="238">
        <v>3</v>
      </c>
      <c r="B12" s="238" t="s">
        <v>1062</v>
      </c>
      <c r="C12" s="440" t="s">
        <v>1064</v>
      </c>
      <c r="D12" s="440"/>
      <c r="E12" s="440"/>
      <c r="F12" s="440"/>
      <c r="G12" s="440"/>
      <c r="H12" s="440"/>
      <c r="I12" s="440"/>
      <c r="J12" s="440"/>
      <c r="K12" s="440"/>
    </row>
    <row r="13" spans="1:11" ht="16.149999999999999" customHeight="1" x14ac:dyDescent="0.25">
      <c r="A13" s="454">
        <v>4</v>
      </c>
      <c r="B13" s="454" t="s">
        <v>1062</v>
      </c>
      <c r="C13" s="443" t="s">
        <v>1312</v>
      </c>
      <c r="D13" s="440"/>
      <c r="E13" s="440"/>
      <c r="F13" s="440"/>
      <c r="G13" s="440"/>
      <c r="H13" s="440"/>
      <c r="I13" s="440"/>
      <c r="J13" s="440"/>
      <c r="K13" s="440"/>
    </row>
    <row r="14" spans="1:11" ht="31.9" customHeight="1" x14ac:dyDescent="0.25">
      <c r="A14" s="454"/>
      <c r="B14" s="454"/>
      <c r="C14" s="440" t="s">
        <v>1063</v>
      </c>
      <c r="D14" s="440"/>
      <c r="E14" s="440"/>
      <c r="F14" s="440"/>
      <c r="G14" s="440"/>
      <c r="H14" s="440"/>
      <c r="I14" s="440"/>
      <c r="J14" s="440"/>
      <c r="K14" s="440"/>
    </row>
    <row r="15" spans="1:11" ht="31.9" customHeight="1" x14ac:dyDescent="0.25">
      <c r="A15" s="454"/>
      <c r="B15" s="454"/>
      <c r="C15" s="443" t="s">
        <v>1313</v>
      </c>
      <c r="D15" s="440"/>
      <c r="E15" s="440"/>
      <c r="F15" s="440"/>
      <c r="G15" s="440"/>
      <c r="H15" s="440"/>
      <c r="I15" s="440"/>
      <c r="J15" s="440"/>
      <c r="K15" s="440"/>
    </row>
    <row r="16" spans="1:11" ht="16.149999999999999" customHeight="1" x14ac:dyDescent="0.25">
      <c r="A16" s="238">
        <v>5</v>
      </c>
      <c r="B16" s="238" t="s">
        <v>1062</v>
      </c>
      <c r="C16" s="440" t="s">
        <v>1166</v>
      </c>
      <c r="D16" s="440"/>
      <c r="E16" s="440"/>
      <c r="F16" s="440"/>
      <c r="G16" s="440"/>
      <c r="H16" s="440"/>
      <c r="I16" s="440"/>
      <c r="J16" s="440"/>
      <c r="K16" s="440"/>
    </row>
    <row r="17" spans="1:16" ht="16.149999999999999" customHeight="1" x14ac:dyDescent="0.25">
      <c r="A17" s="238">
        <v>6</v>
      </c>
      <c r="B17" s="238" t="s">
        <v>1062</v>
      </c>
      <c r="C17" s="440" t="s">
        <v>1146</v>
      </c>
      <c r="D17" s="440"/>
      <c r="E17" s="440"/>
      <c r="F17" s="440"/>
      <c r="G17" s="440"/>
      <c r="H17" s="440"/>
      <c r="I17" s="440"/>
      <c r="J17" s="440"/>
      <c r="K17" s="440"/>
    </row>
    <row r="18" spans="1:16" ht="31.9" customHeight="1" x14ac:dyDescent="0.25">
      <c r="A18" s="238">
        <v>7</v>
      </c>
      <c r="B18" s="238" t="s">
        <v>1062</v>
      </c>
      <c r="C18" s="440" t="s">
        <v>1167</v>
      </c>
      <c r="D18" s="440"/>
      <c r="E18" s="440"/>
      <c r="F18" s="440"/>
      <c r="G18" s="440"/>
      <c r="H18" s="440"/>
      <c r="I18" s="440"/>
      <c r="J18" s="440"/>
      <c r="K18" s="440"/>
    </row>
    <row r="19" spans="1:16" ht="16.149999999999999" customHeight="1" x14ac:dyDescent="0.25">
      <c r="A19" s="238">
        <v>8</v>
      </c>
      <c r="B19" s="238" t="s">
        <v>1062</v>
      </c>
      <c r="C19" s="440" t="s">
        <v>1168</v>
      </c>
      <c r="D19" s="440"/>
      <c r="E19" s="440"/>
      <c r="F19" s="440"/>
      <c r="G19" s="440"/>
      <c r="H19" s="440"/>
      <c r="I19" s="440"/>
      <c r="J19" s="440"/>
      <c r="K19" s="440"/>
    </row>
    <row r="20" spans="1:16" ht="31.9" customHeight="1" x14ac:dyDescent="0.25">
      <c r="A20" s="238">
        <v>9</v>
      </c>
      <c r="B20" s="238" t="s">
        <v>1062</v>
      </c>
      <c r="C20" s="441" t="s">
        <v>1221</v>
      </c>
      <c r="D20" s="440"/>
      <c r="E20" s="440"/>
      <c r="F20" s="440"/>
      <c r="G20" s="440"/>
      <c r="H20" s="440"/>
      <c r="I20" s="440"/>
      <c r="J20" s="440"/>
      <c r="K20" s="440"/>
    </row>
    <row r="21" spans="1:16" ht="64.150000000000006" customHeight="1" x14ac:dyDescent="0.25">
      <c r="A21" s="103" t="s">
        <v>1169</v>
      </c>
      <c r="B21" s="238" t="s">
        <v>1062</v>
      </c>
      <c r="C21" s="440" t="s">
        <v>1133</v>
      </c>
      <c r="D21" s="440"/>
      <c r="E21" s="440"/>
      <c r="F21" s="440"/>
      <c r="G21" s="440"/>
      <c r="H21" s="440"/>
      <c r="I21" s="440"/>
      <c r="J21" s="440"/>
      <c r="K21" s="440"/>
    </row>
    <row r="22" spans="1:16" ht="66.400000000000006" customHeight="1" x14ac:dyDescent="0.25">
      <c r="A22" s="454" t="s">
        <v>1061</v>
      </c>
      <c r="B22" s="413" t="s">
        <v>1314</v>
      </c>
      <c r="C22" s="440" t="s">
        <v>1178</v>
      </c>
      <c r="D22" s="440"/>
      <c r="E22" s="440"/>
      <c r="F22" s="440"/>
      <c r="G22" s="440"/>
      <c r="H22" s="440"/>
      <c r="I22" s="440"/>
      <c r="J22" s="440"/>
      <c r="K22" s="440"/>
    </row>
    <row r="23" spans="1:16" ht="34.9" customHeight="1" x14ac:dyDescent="0.25">
      <c r="A23" s="454"/>
      <c r="B23" s="238" t="s">
        <v>1060</v>
      </c>
      <c r="C23" s="441" t="s">
        <v>1222</v>
      </c>
      <c r="D23" s="440"/>
      <c r="E23" s="440"/>
      <c r="F23" s="440"/>
      <c r="G23" s="440"/>
      <c r="H23" s="440"/>
      <c r="I23" s="440"/>
      <c r="J23" s="440"/>
      <c r="K23" s="440"/>
    </row>
    <row r="24" spans="1:16" ht="48" customHeight="1" x14ac:dyDescent="0.25">
      <c r="A24" s="454"/>
      <c r="B24" s="238" t="s">
        <v>1059</v>
      </c>
      <c r="C24" s="455" t="s">
        <v>1315</v>
      </c>
      <c r="D24" s="455"/>
      <c r="E24" s="455"/>
      <c r="F24" s="455"/>
      <c r="G24" s="455"/>
      <c r="H24" s="455"/>
      <c r="I24" s="455"/>
      <c r="J24" s="455"/>
      <c r="K24" s="455"/>
    </row>
    <row r="25" spans="1:16" x14ac:dyDescent="0.25">
      <c r="B25" s="240"/>
    </row>
    <row r="26" spans="1:16" x14ac:dyDescent="0.25">
      <c r="B26" s="240"/>
      <c r="J26" s="82"/>
      <c r="K26" s="82"/>
      <c r="L26" s="82"/>
      <c r="M26" s="82"/>
      <c r="N26" s="82"/>
      <c r="O26" s="82"/>
      <c r="P26" s="82"/>
    </row>
    <row r="27" spans="1:16" x14ac:dyDescent="0.25">
      <c r="B27" s="240"/>
      <c r="J27" s="82"/>
      <c r="K27" s="82"/>
      <c r="L27" s="82"/>
      <c r="M27" s="82"/>
      <c r="N27" s="82"/>
      <c r="O27" s="82"/>
      <c r="P27" s="82"/>
    </row>
    <row r="28" spans="1:16" x14ac:dyDescent="0.25">
      <c r="J28" s="82"/>
      <c r="K28" s="82"/>
      <c r="L28" s="82"/>
      <c r="M28" s="82"/>
      <c r="N28" s="82"/>
      <c r="O28" s="82"/>
      <c r="P28" s="82"/>
    </row>
    <row r="29" spans="1:16" x14ac:dyDescent="0.25">
      <c r="B29" s="240"/>
      <c r="C29" s="442"/>
      <c r="D29" s="442"/>
      <c r="E29" s="442"/>
      <c r="J29" s="82"/>
      <c r="K29" s="82"/>
      <c r="L29" s="445"/>
      <c r="M29" s="445"/>
      <c r="N29" s="445"/>
      <c r="O29" s="445"/>
      <c r="P29" s="82"/>
    </row>
    <row r="30" spans="1:16" x14ac:dyDescent="0.25">
      <c r="B30" s="240"/>
      <c r="C30" s="439"/>
      <c r="D30" s="439"/>
      <c r="E30" s="439"/>
      <c r="F30" s="439"/>
      <c r="G30" s="439"/>
      <c r="H30" s="439"/>
      <c r="J30" s="82"/>
      <c r="K30" s="239"/>
      <c r="L30" s="82"/>
      <c r="M30" s="82"/>
      <c r="N30" s="82"/>
      <c r="O30" s="82"/>
      <c r="P30" s="82"/>
    </row>
    <row r="31" spans="1:16" x14ac:dyDescent="0.25">
      <c r="B31" s="240"/>
      <c r="J31" s="82"/>
      <c r="K31" s="239"/>
      <c r="L31" s="82"/>
      <c r="M31" s="82"/>
      <c r="N31" s="82"/>
      <c r="O31" s="82"/>
      <c r="P31" s="82"/>
    </row>
    <row r="32" spans="1:16" x14ac:dyDescent="0.25">
      <c r="B32" s="240"/>
      <c r="J32" s="82"/>
      <c r="K32" s="239"/>
      <c r="L32" s="82"/>
      <c r="M32" s="82"/>
      <c r="N32" s="82"/>
      <c r="O32" s="82"/>
      <c r="P32" s="82"/>
    </row>
    <row r="33" spans="2:16" x14ac:dyDescent="0.25">
      <c r="B33" s="240"/>
      <c r="J33" s="82"/>
      <c r="K33" s="239"/>
      <c r="L33" s="82"/>
      <c r="M33" s="82"/>
      <c r="N33" s="82"/>
      <c r="O33" s="82"/>
      <c r="P33" s="82"/>
    </row>
    <row r="34" spans="2:16" x14ac:dyDescent="0.25">
      <c r="B34" s="240"/>
      <c r="J34" s="82"/>
      <c r="K34" s="239"/>
      <c r="L34" s="82"/>
      <c r="M34" s="82"/>
      <c r="N34" s="82"/>
      <c r="O34" s="82"/>
      <c r="P34" s="82"/>
    </row>
    <row r="35" spans="2:16" x14ac:dyDescent="0.25">
      <c r="B35" s="240"/>
      <c r="K35" s="240"/>
    </row>
    <row r="36" spans="2:16" x14ac:dyDescent="0.25">
      <c r="B36" s="240"/>
      <c r="K36" s="240"/>
    </row>
  </sheetData>
  <sheetProtection algorithmName="SHA-512" hashValue="ejyw1UjeAXMwwJwQZyiC+Ohyro1lG+HqB1OpVwaMLdC4J5BD21Sw7Zg73D5CQfn7xIcI29oc300LSeI4t7D/fQ==" saltValue="9cdYY885b9MIDN4b/nYT1A==" spinCount="100000" sheet="1" objects="1" scenarios="1" formatRows="0" selectLockedCells="1"/>
  <mergeCells count="29">
    <mergeCell ref="H1:K1"/>
    <mergeCell ref="E1:F1"/>
    <mergeCell ref="A1:D1"/>
    <mergeCell ref="B2:K2"/>
    <mergeCell ref="A22:A24"/>
    <mergeCell ref="C23:K23"/>
    <mergeCell ref="C24:K24"/>
    <mergeCell ref="A3:K3"/>
    <mergeCell ref="A9:K9"/>
    <mergeCell ref="B4:K4"/>
    <mergeCell ref="C15:K15"/>
    <mergeCell ref="C10:K10"/>
    <mergeCell ref="C11:K11"/>
    <mergeCell ref="C12:K12"/>
    <mergeCell ref="A13:A15"/>
    <mergeCell ref="B13:B15"/>
    <mergeCell ref="C14:K14"/>
    <mergeCell ref="C13:K13"/>
    <mergeCell ref="E5:K8"/>
    <mergeCell ref="L29:O29"/>
    <mergeCell ref="C16:K16"/>
    <mergeCell ref="C17:K17"/>
    <mergeCell ref="C18:K18"/>
    <mergeCell ref="C19:K19"/>
    <mergeCell ref="C30:H30"/>
    <mergeCell ref="C22:K22"/>
    <mergeCell ref="C20:K20"/>
    <mergeCell ref="C21:K21"/>
    <mergeCell ref="C29:E29"/>
  </mergeCells>
  <printOptions horizontalCentered="1"/>
  <pageMargins left="0.6" right="0.6" top="0.75" bottom="0.4" header="0.3" footer="0.2"/>
  <pageSetup scale="88" fitToHeight="2" orientation="portrait" r:id="rId1"/>
  <headerFooter>
    <oddHeader>&amp;L&amp;F&amp;R&amp;A</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AAS47"/>
  <sheetViews>
    <sheetView topLeftCell="A41" zoomScale="130" zoomScaleNormal="130" workbookViewId="0">
      <selection activeCell="E7" sqref="E7:J7"/>
    </sheetView>
  </sheetViews>
  <sheetFormatPr defaultColWidth="11.28515625" defaultRowHeight="15" x14ac:dyDescent="0.25"/>
  <cols>
    <col min="1" max="3" width="10.7109375" customWidth="1"/>
    <col min="4" max="4" width="12" customWidth="1"/>
    <col min="5" max="7" width="10.7109375" customWidth="1"/>
    <col min="8" max="10" width="13.7109375" customWidth="1"/>
  </cols>
  <sheetData>
    <row r="1" spans="1:721" ht="12" customHeight="1" x14ac:dyDescent="0.25">
      <c r="A1" s="104"/>
      <c r="B1" s="93"/>
      <c r="C1" s="93"/>
      <c r="D1" s="93"/>
      <c r="E1" s="487">
        <f>VersionNo.</f>
        <v>2024.08</v>
      </c>
      <c r="F1" s="488"/>
      <c r="G1" s="489"/>
      <c r="H1" s="418" t="s">
        <v>69</v>
      </c>
      <c r="I1" s="418"/>
      <c r="J1" s="531"/>
    </row>
    <row r="2" spans="1:721" ht="12" customHeight="1" x14ac:dyDescent="0.25">
      <c r="A2" s="277"/>
      <c r="E2" s="490"/>
      <c r="F2" s="491"/>
      <c r="G2" s="492"/>
      <c r="H2" s="532"/>
      <c r="I2" s="532"/>
      <c r="J2" s="533"/>
    </row>
    <row r="3" spans="1:721" ht="12" customHeight="1" x14ac:dyDescent="0.25">
      <c r="A3" s="277"/>
      <c r="E3" s="490"/>
      <c r="F3" s="491"/>
      <c r="G3" s="492"/>
      <c r="H3" s="532"/>
      <c r="I3" s="532"/>
      <c r="J3" s="533"/>
    </row>
    <row r="4" spans="1:721" ht="12" customHeight="1" x14ac:dyDescent="0.25">
      <c r="A4" s="277"/>
      <c r="E4" s="490"/>
      <c r="F4" s="491"/>
      <c r="G4" s="492"/>
      <c r="H4" s="532"/>
      <c r="I4" s="532"/>
      <c r="J4" s="533"/>
    </row>
    <row r="5" spans="1:721" ht="13.9" customHeight="1" x14ac:dyDescent="0.25">
      <c r="A5" s="277"/>
      <c r="E5" s="493"/>
      <c r="F5" s="494"/>
      <c r="G5" s="495"/>
      <c r="H5" s="534"/>
      <c r="I5" s="534"/>
      <c r="J5" s="535"/>
    </row>
    <row r="6" spans="1:721" ht="16.149999999999999" customHeight="1" x14ac:dyDescent="0.25">
      <c r="A6" s="496" t="s">
        <v>70</v>
      </c>
      <c r="B6" s="497"/>
      <c r="C6" s="497"/>
      <c r="D6" s="497"/>
      <c r="E6" s="497"/>
      <c r="F6" s="497"/>
      <c r="G6" s="497"/>
      <c r="H6" s="497"/>
      <c r="I6" s="497"/>
      <c r="J6" s="498"/>
    </row>
    <row r="7" spans="1:721" ht="16.899999999999999" customHeight="1" x14ac:dyDescent="0.25">
      <c r="A7" s="506" t="s">
        <v>919</v>
      </c>
      <c r="B7" s="507"/>
      <c r="C7" s="507"/>
      <c r="D7" s="508"/>
      <c r="E7" s="499"/>
      <c r="F7" s="499"/>
      <c r="G7" s="499"/>
      <c r="H7" s="499"/>
      <c r="I7" s="499"/>
      <c r="J7" s="500"/>
    </row>
    <row r="8" spans="1:721" ht="16.899999999999999" customHeight="1" x14ac:dyDescent="0.25">
      <c r="A8" s="509"/>
      <c r="B8" s="510"/>
      <c r="C8" s="510"/>
      <c r="D8" s="511"/>
      <c r="E8" s="501"/>
      <c r="F8" s="501"/>
      <c r="G8" s="501"/>
      <c r="H8" s="501"/>
      <c r="I8" s="501"/>
      <c r="J8" s="502"/>
    </row>
    <row r="9" spans="1:721" ht="16.899999999999999" customHeight="1" x14ac:dyDescent="0.25">
      <c r="A9" s="512"/>
      <c r="B9" s="513"/>
      <c r="C9" s="513"/>
      <c r="D9" s="514"/>
      <c r="E9" s="515"/>
      <c r="F9" s="515"/>
      <c r="G9" s="515"/>
      <c r="H9" s="515"/>
      <c r="I9" s="515"/>
      <c r="J9" s="516"/>
    </row>
    <row r="10" spans="1:721" ht="16.899999999999999" customHeight="1" x14ac:dyDescent="0.25">
      <c r="A10" s="503" t="s">
        <v>623</v>
      </c>
      <c r="B10" s="504"/>
      <c r="C10" s="504"/>
      <c r="D10" s="505"/>
      <c r="E10" s="517"/>
      <c r="F10" s="518"/>
      <c r="G10" s="518"/>
      <c r="H10" s="78"/>
      <c r="I10" s="78"/>
      <c r="J10" s="79"/>
    </row>
    <row r="11" spans="1:721" ht="16.899999999999999" customHeight="1" x14ac:dyDescent="0.25">
      <c r="A11" s="503" t="s">
        <v>1171</v>
      </c>
      <c r="B11" s="504"/>
      <c r="C11" s="504"/>
      <c r="D11" s="505"/>
      <c r="E11" s="536"/>
      <c r="F11" s="537"/>
      <c r="G11" s="537"/>
      <c r="H11" s="522" t="s">
        <v>1175</v>
      </c>
      <c r="I11" s="523"/>
      <c r="J11" s="524"/>
    </row>
    <row r="12" spans="1:721" ht="17.100000000000001" customHeight="1" x14ac:dyDescent="0.25">
      <c r="A12" s="503" t="s">
        <v>1173</v>
      </c>
      <c r="B12" s="504"/>
      <c r="C12" s="504"/>
      <c r="D12" s="505"/>
      <c r="E12" s="519"/>
      <c r="F12" s="520"/>
      <c r="G12" s="521"/>
      <c r="H12" s="525"/>
      <c r="I12" s="526"/>
      <c r="J12" s="527"/>
    </row>
    <row r="13" spans="1:721" ht="17.100000000000001" customHeight="1" x14ac:dyDescent="0.25">
      <c r="A13" s="503" t="s">
        <v>1172</v>
      </c>
      <c r="B13" s="504"/>
      <c r="C13" s="504"/>
      <c r="D13" s="505"/>
      <c r="E13" s="470"/>
      <c r="F13" s="471"/>
      <c r="G13" s="472"/>
      <c r="H13" s="525"/>
      <c r="I13" s="526"/>
      <c r="J13" s="527"/>
    </row>
    <row r="14" spans="1:721" ht="17.100000000000001" customHeight="1" x14ac:dyDescent="0.25">
      <c r="A14" s="503" t="s">
        <v>95</v>
      </c>
      <c r="B14" s="504"/>
      <c r="C14" s="504"/>
      <c r="D14" s="505"/>
      <c r="E14" s="470"/>
      <c r="F14" s="471"/>
      <c r="G14" s="472"/>
      <c r="H14" s="525"/>
      <c r="I14" s="526"/>
      <c r="J14" s="527"/>
    </row>
    <row r="15" spans="1:721" ht="17.100000000000001" customHeight="1" x14ac:dyDescent="0.25">
      <c r="A15" s="477" t="s">
        <v>1174</v>
      </c>
      <c r="B15" s="478"/>
      <c r="C15" s="478"/>
      <c r="D15" s="479"/>
      <c r="E15" s="480"/>
      <c r="F15" s="481"/>
      <c r="G15" s="482"/>
      <c r="H15" s="528"/>
      <c r="I15" s="529"/>
      <c r="J15" s="530"/>
    </row>
    <row r="16" spans="1:721" s="303" customFormat="1" ht="16.149999999999999" customHeight="1" x14ac:dyDescent="0.25">
      <c r="A16" s="496" t="s">
        <v>773</v>
      </c>
      <c r="B16" s="497"/>
      <c r="C16" s="497"/>
      <c r="D16" s="497"/>
      <c r="E16" s="497"/>
      <c r="F16" s="497"/>
      <c r="G16" s="497"/>
      <c r="H16" s="497"/>
      <c r="I16" s="497"/>
      <c r="J16" s="498"/>
      <c r="K16" s="301"/>
      <c r="L16" s="302"/>
      <c r="M16" s="302"/>
      <c r="N16" s="302"/>
      <c r="O16" s="302"/>
      <c r="P16" s="302"/>
      <c r="Q16" s="302"/>
      <c r="R16" s="302"/>
      <c r="S16" s="302"/>
      <c r="T16" s="302"/>
      <c r="U16" s="302"/>
      <c r="V16" s="302"/>
      <c r="W16" s="302"/>
      <c r="X16" s="302"/>
      <c r="Y16" s="302"/>
      <c r="Z16" s="302"/>
      <c r="AA16" s="302"/>
      <c r="AB16" s="302"/>
      <c r="AC16" s="302"/>
      <c r="AD16" s="302"/>
      <c r="AE16" s="302"/>
      <c r="AF16" s="302"/>
      <c r="AG16" s="302"/>
      <c r="AH16" s="302"/>
      <c r="AI16" s="302"/>
      <c r="AJ16" s="302"/>
      <c r="AK16" s="302"/>
      <c r="AL16" s="302"/>
      <c r="AM16" s="302"/>
      <c r="AN16" s="302"/>
      <c r="AO16" s="302"/>
      <c r="AP16" s="302"/>
      <c r="AQ16" s="302"/>
      <c r="AR16" s="302"/>
      <c r="AS16" s="302"/>
      <c r="AT16" s="302"/>
      <c r="AU16" s="302"/>
      <c r="AV16" s="302"/>
      <c r="AW16" s="302"/>
      <c r="AX16" s="302"/>
      <c r="AY16" s="302"/>
      <c r="AZ16" s="302"/>
      <c r="BA16" s="302"/>
      <c r="BB16" s="302"/>
      <c r="BC16" s="302"/>
      <c r="BD16" s="302"/>
      <c r="BE16" s="302"/>
      <c r="BF16" s="302"/>
      <c r="BG16" s="302"/>
      <c r="BH16" s="302"/>
      <c r="BI16" s="302"/>
      <c r="BJ16" s="302"/>
      <c r="BK16" s="302"/>
      <c r="BL16" s="302"/>
      <c r="BM16" s="302"/>
      <c r="BN16" s="302"/>
      <c r="BO16" s="302"/>
      <c r="BP16" s="302"/>
      <c r="BQ16" s="302"/>
      <c r="BR16" s="302"/>
      <c r="BS16" s="302"/>
      <c r="BT16" s="302"/>
      <c r="BU16" s="302"/>
      <c r="BV16" s="302"/>
      <c r="BW16" s="302"/>
      <c r="BX16" s="302"/>
      <c r="BY16" s="302"/>
      <c r="BZ16" s="302"/>
      <c r="CA16" s="302"/>
      <c r="CB16" s="302"/>
      <c r="CC16" s="302"/>
      <c r="CD16" s="302"/>
      <c r="CE16" s="302"/>
      <c r="CF16" s="302"/>
      <c r="CG16" s="302"/>
      <c r="CH16" s="302"/>
      <c r="CI16" s="302"/>
      <c r="CJ16" s="302"/>
      <c r="CK16" s="302"/>
      <c r="CL16" s="302"/>
      <c r="CM16" s="302"/>
      <c r="CN16" s="302"/>
      <c r="CO16" s="302"/>
      <c r="CP16" s="302"/>
      <c r="CQ16" s="302"/>
      <c r="CR16" s="302"/>
      <c r="CS16" s="302"/>
      <c r="CT16" s="302"/>
      <c r="CU16" s="302"/>
      <c r="CV16" s="302"/>
      <c r="CW16" s="302"/>
      <c r="CX16" s="302"/>
      <c r="CY16" s="302"/>
      <c r="CZ16" s="302"/>
      <c r="DA16" s="302"/>
      <c r="DB16" s="302"/>
      <c r="DC16" s="302"/>
      <c r="DD16" s="302"/>
      <c r="DE16" s="302"/>
      <c r="DF16" s="302"/>
      <c r="DG16" s="302"/>
      <c r="DH16" s="302"/>
      <c r="DI16" s="302"/>
      <c r="DJ16" s="302"/>
      <c r="DK16" s="302"/>
      <c r="DL16" s="302"/>
      <c r="DM16" s="302"/>
      <c r="DN16" s="302"/>
      <c r="DO16" s="302"/>
      <c r="DP16" s="302"/>
      <c r="DQ16" s="302"/>
      <c r="DR16" s="302"/>
      <c r="DS16" s="302"/>
      <c r="DT16" s="302"/>
      <c r="DU16" s="302"/>
      <c r="DV16" s="302"/>
      <c r="DW16" s="302"/>
      <c r="DX16" s="302"/>
      <c r="DY16" s="302"/>
      <c r="DZ16" s="302"/>
      <c r="EA16" s="302"/>
      <c r="EB16" s="302"/>
      <c r="EC16" s="302"/>
      <c r="ED16" s="302"/>
      <c r="EE16" s="302"/>
      <c r="EF16" s="302"/>
      <c r="EG16" s="302"/>
      <c r="EH16" s="302"/>
      <c r="EI16" s="302"/>
      <c r="EJ16" s="302"/>
      <c r="EK16" s="302"/>
      <c r="EL16" s="302"/>
      <c r="EM16" s="302"/>
      <c r="EN16" s="302"/>
      <c r="EO16" s="302"/>
      <c r="EP16" s="302"/>
      <c r="EQ16" s="302"/>
      <c r="ER16" s="302"/>
      <c r="ES16" s="302"/>
      <c r="ET16" s="302"/>
      <c r="EU16" s="302"/>
      <c r="EV16" s="302"/>
      <c r="EW16" s="302"/>
      <c r="EX16" s="302"/>
      <c r="EY16" s="302"/>
      <c r="EZ16" s="302"/>
      <c r="FA16" s="302"/>
      <c r="FB16" s="302"/>
      <c r="FC16" s="302"/>
      <c r="FD16" s="302"/>
      <c r="FE16" s="302"/>
      <c r="FF16" s="302"/>
      <c r="FG16" s="302"/>
      <c r="FH16" s="302"/>
      <c r="FI16" s="302"/>
      <c r="FJ16" s="302"/>
      <c r="FK16" s="302"/>
      <c r="FL16" s="302"/>
      <c r="FM16" s="302"/>
      <c r="FN16" s="302"/>
      <c r="FO16" s="302"/>
      <c r="FP16" s="302"/>
      <c r="FQ16" s="302"/>
      <c r="FR16" s="302"/>
      <c r="FS16" s="302"/>
      <c r="FT16" s="302"/>
      <c r="FU16" s="302"/>
      <c r="FV16" s="302"/>
      <c r="FW16" s="302"/>
      <c r="FX16" s="302"/>
      <c r="FY16" s="302"/>
      <c r="FZ16" s="302"/>
      <c r="GA16" s="302"/>
      <c r="GB16" s="302"/>
      <c r="GC16" s="302"/>
      <c r="GD16" s="302"/>
      <c r="GE16" s="302"/>
      <c r="GF16" s="302"/>
      <c r="GG16" s="302"/>
      <c r="GH16" s="302"/>
      <c r="GI16" s="302"/>
      <c r="GJ16" s="302"/>
      <c r="GK16" s="302"/>
      <c r="GL16" s="302"/>
      <c r="GM16" s="302"/>
      <c r="GN16" s="302"/>
      <c r="GO16" s="302"/>
      <c r="GP16" s="302"/>
      <c r="GQ16" s="302"/>
      <c r="GR16" s="302"/>
      <c r="GS16" s="302"/>
      <c r="GT16" s="302"/>
      <c r="GU16" s="302"/>
      <c r="GV16" s="302"/>
      <c r="GW16" s="302"/>
      <c r="GX16" s="302"/>
      <c r="GY16" s="302"/>
      <c r="GZ16" s="302"/>
      <c r="HA16" s="302"/>
      <c r="HB16" s="302"/>
      <c r="HC16" s="302"/>
      <c r="HD16" s="302"/>
      <c r="HE16" s="302"/>
      <c r="HF16" s="302"/>
      <c r="HG16" s="302"/>
      <c r="HH16" s="302"/>
      <c r="HI16" s="302"/>
      <c r="HJ16" s="302"/>
      <c r="HK16" s="302"/>
      <c r="HL16" s="302"/>
      <c r="HM16" s="302"/>
      <c r="HN16" s="302"/>
      <c r="HO16" s="302"/>
      <c r="HP16" s="302"/>
      <c r="HQ16" s="302"/>
      <c r="HR16" s="302"/>
      <c r="HS16" s="302"/>
      <c r="HT16" s="302"/>
      <c r="HU16" s="302"/>
      <c r="HV16" s="302"/>
      <c r="HW16" s="302"/>
      <c r="HX16" s="302"/>
      <c r="HY16" s="302"/>
      <c r="HZ16" s="302"/>
      <c r="IA16" s="302"/>
      <c r="IB16" s="302"/>
      <c r="IC16" s="302"/>
      <c r="ID16" s="302"/>
      <c r="IE16" s="302"/>
      <c r="IF16" s="302"/>
      <c r="IG16" s="302"/>
      <c r="IH16" s="302"/>
      <c r="II16" s="302"/>
      <c r="IJ16" s="302"/>
      <c r="IK16" s="302"/>
      <c r="IL16" s="302"/>
      <c r="IM16" s="302"/>
      <c r="IN16" s="302"/>
      <c r="IO16" s="302"/>
      <c r="IP16" s="302"/>
      <c r="IQ16" s="302"/>
      <c r="IR16" s="302"/>
      <c r="IS16" s="302"/>
      <c r="IT16" s="302"/>
      <c r="IU16" s="302"/>
      <c r="IV16" s="302"/>
      <c r="IW16" s="302"/>
      <c r="IX16" s="302"/>
      <c r="IY16" s="302"/>
      <c r="IZ16" s="302"/>
      <c r="JA16" s="302"/>
      <c r="JB16" s="302"/>
      <c r="JC16" s="302"/>
      <c r="JD16" s="302"/>
      <c r="JE16" s="302"/>
      <c r="JF16" s="302"/>
      <c r="JG16" s="302"/>
      <c r="JH16" s="302"/>
      <c r="JI16" s="302"/>
      <c r="JJ16" s="302"/>
      <c r="JK16" s="302"/>
      <c r="JL16" s="302"/>
      <c r="JM16" s="302"/>
      <c r="JN16" s="302"/>
      <c r="JO16" s="302"/>
      <c r="JP16" s="302"/>
      <c r="JQ16" s="302"/>
      <c r="JR16" s="302"/>
      <c r="JS16" s="302"/>
      <c r="JT16" s="302"/>
      <c r="JU16" s="302"/>
      <c r="JV16" s="302"/>
      <c r="JW16" s="302"/>
      <c r="JX16" s="302"/>
      <c r="JY16" s="302"/>
      <c r="JZ16" s="302"/>
      <c r="KA16" s="302"/>
      <c r="KB16" s="302"/>
      <c r="KC16" s="302"/>
      <c r="KD16" s="302"/>
      <c r="KE16" s="302"/>
      <c r="KF16" s="302"/>
      <c r="KG16" s="302"/>
      <c r="KH16" s="302"/>
      <c r="KI16" s="302"/>
      <c r="KJ16" s="302"/>
      <c r="KK16" s="302"/>
      <c r="KL16" s="302"/>
      <c r="KM16" s="302"/>
      <c r="KN16" s="302"/>
      <c r="KO16" s="302"/>
      <c r="KP16" s="302"/>
      <c r="KQ16" s="302"/>
      <c r="KR16" s="302"/>
      <c r="KS16" s="302"/>
      <c r="KT16" s="302"/>
      <c r="KU16" s="302"/>
      <c r="KV16" s="302"/>
      <c r="KW16" s="302"/>
      <c r="KX16" s="302"/>
      <c r="KY16" s="302"/>
      <c r="KZ16" s="302"/>
      <c r="LA16" s="302"/>
      <c r="LB16" s="302"/>
      <c r="LC16" s="302"/>
      <c r="LD16" s="302"/>
      <c r="LE16" s="302"/>
      <c r="LF16" s="302"/>
      <c r="LG16" s="302"/>
      <c r="LH16" s="302"/>
      <c r="LI16" s="302"/>
      <c r="LJ16" s="302"/>
      <c r="LK16" s="302"/>
      <c r="LL16" s="302"/>
      <c r="LM16" s="302"/>
      <c r="LN16" s="302"/>
      <c r="LO16" s="302"/>
      <c r="LP16" s="302"/>
      <c r="LQ16" s="302"/>
      <c r="LR16" s="302"/>
      <c r="LS16" s="302"/>
      <c r="LT16" s="302"/>
      <c r="LU16" s="302"/>
      <c r="LV16" s="302"/>
      <c r="LW16" s="302"/>
      <c r="LX16" s="302"/>
      <c r="LY16" s="302"/>
      <c r="LZ16" s="302"/>
      <c r="MA16" s="302"/>
      <c r="MB16" s="302"/>
      <c r="MC16" s="302"/>
      <c r="MD16" s="302"/>
      <c r="ME16" s="302"/>
      <c r="MF16" s="302"/>
      <c r="MG16" s="302"/>
      <c r="MH16" s="302"/>
      <c r="MI16" s="302"/>
      <c r="MJ16" s="302"/>
      <c r="MK16" s="302"/>
      <c r="ML16" s="302"/>
      <c r="MM16" s="302"/>
      <c r="MN16" s="302"/>
      <c r="MO16" s="302"/>
      <c r="MP16" s="302"/>
      <c r="MQ16" s="302"/>
      <c r="MR16" s="302"/>
      <c r="MS16" s="302"/>
      <c r="MT16" s="302"/>
      <c r="MU16" s="302"/>
      <c r="MV16" s="302"/>
      <c r="MW16" s="302"/>
      <c r="MX16" s="302"/>
      <c r="MY16" s="302"/>
      <c r="MZ16" s="302"/>
      <c r="NA16" s="302"/>
      <c r="NB16" s="302"/>
      <c r="NC16" s="302"/>
      <c r="ND16" s="302"/>
      <c r="NE16" s="302"/>
      <c r="NF16" s="302"/>
      <c r="NG16" s="302"/>
      <c r="NH16" s="302"/>
      <c r="NI16" s="302"/>
      <c r="NJ16" s="302"/>
      <c r="NK16" s="302"/>
      <c r="NL16" s="302"/>
      <c r="NM16" s="302"/>
      <c r="NN16" s="302"/>
      <c r="NO16" s="302"/>
      <c r="NP16" s="302"/>
      <c r="NQ16" s="302"/>
      <c r="NR16" s="302"/>
      <c r="NS16" s="302"/>
      <c r="NT16" s="302"/>
      <c r="NU16" s="302"/>
      <c r="NV16" s="302"/>
      <c r="NW16" s="302"/>
      <c r="NX16" s="302"/>
      <c r="NY16" s="302"/>
      <c r="NZ16" s="302"/>
      <c r="OA16" s="302"/>
      <c r="OB16" s="302"/>
      <c r="OC16" s="302"/>
      <c r="OD16" s="302"/>
      <c r="OE16" s="302"/>
      <c r="OF16" s="302"/>
      <c r="OG16" s="302"/>
      <c r="OH16" s="302"/>
      <c r="OI16" s="302"/>
      <c r="OJ16" s="302"/>
      <c r="OK16" s="302"/>
      <c r="OL16" s="302"/>
      <c r="OM16" s="302"/>
      <c r="ON16" s="302"/>
      <c r="OO16" s="302"/>
      <c r="OP16" s="302"/>
      <c r="OQ16" s="302"/>
      <c r="OR16" s="302"/>
      <c r="OS16" s="302"/>
      <c r="OT16" s="302"/>
      <c r="OU16" s="302"/>
      <c r="OV16" s="302"/>
      <c r="OW16" s="302"/>
      <c r="OX16" s="302"/>
      <c r="OY16" s="302"/>
      <c r="OZ16" s="302"/>
      <c r="PA16" s="302"/>
      <c r="PB16" s="302"/>
      <c r="PC16" s="302"/>
      <c r="PD16" s="302"/>
      <c r="PE16" s="302"/>
      <c r="PF16" s="302"/>
      <c r="PG16" s="302"/>
      <c r="PH16" s="302"/>
      <c r="PI16" s="302"/>
      <c r="PJ16" s="302"/>
      <c r="PK16" s="302"/>
      <c r="PL16" s="302"/>
      <c r="PM16" s="302"/>
      <c r="PN16" s="302"/>
      <c r="PO16" s="302"/>
      <c r="PP16" s="302"/>
      <c r="PQ16" s="302"/>
      <c r="PR16" s="302"/>
      <c r="PS16" s="302"/>
      <c r="PT16" s="302"/>
      <c r="PU16" s="302"/>
      <c r="PV16" s="302"/>
      <c r="PW16" s="302"/>
      <c r="PX16" s="302"/>
      <c r="PY16" s="302"/>
      <c r="PZ16" s="302"/>
      <c r="QA16" s="302"/>
      <c r="QB16" s="302"/>
      <c r="QC16" s="302"/>
      <c r="QD16" s="302"/>
      <c r="QE16" s="302"/>
      <c r="QF16" s="302"/>
      <c r="QG16" s="302"/>
      <c r="QH16" s="302"/>
      <c r="QI16" s="302"/>
      <c r="QJ16" s="302"/>
      <c r="QK16" s="302"/>
      <c r="QL16" s="302"/>
      <c r="QM16" s="302"/>
      <c r="QN16" s="302"/>
      <c r="QO16" s="302"/>
      <c r="QP16" s="302"/>
      <c r="QQ16" s="302"/>
      <c r="QR16" s="302"/>
      <c r="QS16" s="302"/>
      <c r="QT16" s="302"/>
      <c r="QU16" s="302"/>
      <c r="QV16" s="302"/>
      <c r="QW16" s="302"/>
      <c r="QX16" s="302"/>
      <c r="QY16" s="302"/>
      <c r="QZ16" s="302"/>
      <c r="RA16" s="302"/>
      <c r="RB16" s="302"/>
      <c r="RC16" s="302"/>
      <c r="RD16" s="302"/>
      <c r="RE16" s="302"/>
      <c r="RF16" s="302"/>
      <c r="RG16" s="302"/>
      <c r="RH16" s="302"/>
      <c r="RI16" s="302"/>
      <c r="RJ16" s="302"/>
      <c r="RK16" s="302"/>
      <c r="RL16" s="302"/>
      <c r="RM16" s="302"/>
      <c r="RN16" s="302"/>
      <c r="RO16" s="302"/>
      <c r="RP16" s="302"/>
      <c r="RQ16" s="302"/>
      <c r="RR16" s="302"/>
      <c r="RS16" s="302"/>
      <c r="RT16" s="302"/>
      <c r="RU16" s="302"/>
      <c r="RV16" s="302"/>
      <c r="RW16" s="302"/>
      <c r="RX16" s="302"/>
      <c r="RY16" s="302"/>
      <c r="RZ16" s="302"/>
      <c r="SA16" s="302"/>
      <c r="SB16" s="302"/>
      <c r="SC16" s="302"/>
      <c r="SD16" s="302"/>
      <c r="SE16" s="302"/>
      <c r="SF16" s="302"/>
      <c r="SG16" s="302"/>
      <c r="SH16" s="302"/>
      <c r="SI16" s="302"/>
      <c r="SJ16" s="302"/>
      <c r="SK16" s="302"/>
      <c r="SL16" s="302"/>
      <c r="SM16" s="302"/>
      <c r="SN16" s="302"/>
      <c r="SO16" s="302"/>
      <c r="SP16" s="302"/>
      <c r="SQ16" s="302"/>
      <c r="SR16" s="302"/>
      <c r="SS16" s="302"/>
      <c r="ST16" s="302"/>
      <c r="SU16" s="302"/>
      <c r="SV16" s="302"/>
      <c r="SW16" s="302"/>
      <c r="SX16" s="302"/>
      <c r="SY16" s="302"/>
      <c r="SZ16" s="302"/>
      <c r="TA16" s="302"/>
      <c r="TB16" s="302"/>
      <c r="TC16" s="302"/>
      <c r="TD16" s="302"/>
      <c r="TE16" s="302"/>
      <c r="TF16" s="302"/>
      <c r="TG16" s="302"/>
      <c r="TH16" s="302"/>
      <c r="TI16" s="302"/>
      <c r="TJ16" s="302"/>
      <c r="TK16" s="302"/>
      <c r="TL16" s="302"/>
      <c r="TM16" s="302"/>
      <c r="TN16" s="302"/>
      <c r="TO16" s="302"/>
      <c r="TP16" s="302"/>
      <c r="TQ16" s="302"/>
      <c r="TR16" s="302"/>
      <c r="TS16" s="302"/>
      <c r="TT16" s="302"/>
      <c r="TU16" s="302"/>
      <c r="TV16" s="302"/>
      <c r="TW16" s="302"/>
      <c r="TX16" s="302"/>
      <c r="TY16" s="302"/>
      <c r="TZ16" s="302"/>
      <c r="UA16" s="302"/>
      <c r="UB16" s="302"/>
      <c r="UC16" s="302"/>
      <c r="UD16" s="302"/>
      <c r="UE16" s="302"/>
      <c r="UF16" s="302"/>
      <c r="UG16" s="302"/>
      <c r="UH16" s="302"/>
      <c r="UI16" s="302"/>
      <c r="UJ16" s="302"/>
      <c r="UK16" s="302"/>
      <c r="UL16" s="302"/>
      <c r="UM16" s="302"/>
      <c r="UN16" s="302"/>
      <c r="UO16" s="302"/>
      <c r="UP16" s="302"/>
      <c r="UQ16" s="302"/>
      <c r="UR16" s="302"/>
      <c r="US16" s="302"/>
      <c r="UT16" s="302"/>
      <c r="UU16" s="302"/>
      <c r="UV16" s="302"/>
      <c r="UW16" s="302"/>
      <c r="UX16" s="302"/>
      <c r="UY16" s="302"/>
      <c r="UZ16" s="302"/>
      <c r="VA16" s="302"/>
      <c r="VB16" s="302"/>
      <c r="VC16" s="302"/>
      <c r="VD16" s="302"/>
      <c r="VE16" s="302"/>
      <c r="VF16" s="302"/>
      <c r="VG16" s="302"/>
      <c r="VH16" s="302"/>
      <c r="VI16" s="302"/>
      <c r="VJ16" s="302"/>
      <c r="VK16" s="302"/>
      <c r="VL16" s="302"/>
      <c r="VM16" s="302"/>
      <c r="VN16" s="302"/>
      <c r="VO16" s="302"/>
      <c r="VP16" s="302"/>
      <c r="VQ16" s="302"/>
      <c r="VR16" s="302"/>
      <c r="VS16" s="302"/>
      <c r="VT16" s="302"/>
      <c r="VU16" s="302"/>
      <c r="VV16" s="302"/>
      <c r="VW16" s="302"/>
      <c r="VX16" s="302"/>
      <c r="VY16" s="302"/>
      <c r="VZ16" s="302"/>
      <c r="WA16" s="302"/>
      <c r="WB16" s="302"/>
      <c r="WC16" s="302"/>
      <c r="WD16" s="302"/>
      <c r="WE16" s="302"/>
      <c r="WF16" s="302"/>
      <c r="WG16" s="302"/>
      <c r="WH16" s="302"/>
      <c r="WI16" s="302"/>
      <c r="WJ16" s="302"/>
      <c r="WK16" s="302"/>
      <c r="WL16" s="302"/>
      <c r="WM16" s="302"/>
      <c r="WN16" s="302"/>
      <c r="WO16" s="302"/>
      <c r="WP16" s="302"/>
      <c r="WQ16" s="302"/>
      <c r="WR16" s="302"/>
      <c r="WS16" s="302"/>
      <c r="WT16" s="302"/>
      <c r="WU16" s="302"/>
      <c r="WV16" s="302"/>
      <c r="WW16" s="302"/>
      <c r="WX16" s="302"/>
      <c r="WY16" s="302"/>
      <c r="WZ16" s="302"/>
      <c r="XA16" s="302"/>
      <c r="XB16" s="302"/>
      <c r="XC16" s="302"/>
      <c r="XD16" s="302"/>
      <c r="XE16" s="302"/>
      <c r="XF16" s="302"/>
      <c r="XG16" s="302"/>
      <c r="XH16" s="302"/>
      <c r="XI16" s="302"/>
      <c r="XJ16" s="302"/>
      <c r="XK16" s="302"/>
      <c r="XL16" s="302"/>
      <c r="XM16" s="302"/>
      <c r="XN16" s="302"/>
      <c r="XO16" s="302"/>
      <c r="XP16" s="302"/>
      <c r="XQ16" s="302"/>
      <c r="XR16" s="302"/>
      <c r="XS16" s="302"/>
      <c r="XT16" s="302"/>
      <c r="XU16" s="302"/>
      <c r="XV16" s="302"/>
      <c r="XW16" s="302"/>
      <c r="XX16" s="302"/>
      <c r="XY16" s="302"/>
      <c r="XZ16" s="302"/>
      <c r="YA16" s="302"/>
      <c r="YB16" s="302"/>
      <c r="YC16" s="302"/>
      <c r="YD16" s="302"/>
      <c r="YE16" s="302"/>
      <c r="YF16" s="302"/>
      <c r="YG16" s="302"/>
      <c r="YH16" s="302"/>
      <c r="YI16" s="302"/>
      <c r="YJ16" s="302"/>
      <c r="YK16" s="302"/>
      <c r="YL16" s="302"/>
      <c r="YM16" s="302"/>
      <c r="YN16" s="302"/>
      <c r="YO16" s="302"/>
      <c r="YP16" s="302"/>
      <c r="YQ16" s="302"/>
      <c r="YR16" s="302"/>
      <c r="YS16" s="302"/>
      <c r="YT16" s="302"/>
      <c r="YU16" s="302"/>
      <c r="YV16" s="302"/>
      <c r="YW16" s="302"/>
      <c r="YX16" s="302"/>
      <c r="YY16" s="302"/>
      <c r="YZ16" s="302"/>
      <c r="ZA16" s="302"/>
      <c r="ZB16" s="302"/>
      <c r="ZC16" s="302"/>
      <c r="ZD16" s="302"/>
      <c r="ZE16" s="302"/>
      <c r="ZF16" s="302"/>
      <c r="ZG16" s="302"/>
      <c r="ZH16" s="302"/>
      <c r="ZI16" s="302"/>
      <c r="ZJ16" s="302"/>
      <c r="ZK16" s="302"/>
      <c r="ZL16" s="302"/>
      <c r="ZM16" s="302"/>
      <c r="ZN16" s="302"/>
      <c r="ZO16" s="302"/>
      <c r="ZP16" s="302"/>
      <c r="ZQ16" s="302"/>
      <c r="ZR16" s="302"/>
      <c r="ZS16" s="302"/>
      <c r="ZT16" s="302"/>
      <c r="ZU16" s="302"/>
      <c r="ZV16" s="302"/>
      <c r="ZW16" s="302"/>
      <c r="ZX16" s="302"/>
      <c r="ZY16" s="302"/>
      <c r="ZZ16" s="302"/>
      <c r="AAA16" s="302"/>
      <c r="AAB16" s="302"/>
      <c r="AAC16" s="302"/>
      <c r="AAD16" s="302"/>
      <c r="AAE16" s="302"/>
      <c r="AAF16" s="302"/>
      <c r="AAG16" s="302"/>
      <c r="AAH16" s="302"/>
      <c r="AAI16" s="302"/>
      <c r="AAJ16" s="302"/>
      <c r="AAK16" s="302"/>
      <c r="AAL16" s="302"/>
      <c r="AAM16" s="302"/>
      <c r="AAN16" s="302"/>
      <c r="AAO16" s="302"/>
      <c r="AAP16" s="302"/>
      <c r="AAQ16" s="302"/>
      <c r="AAR16" s="302"/>
      <c r="AAS16" s="302"/>
    </row>
    <row r="17" spans="1:10" ht="16.149999999999999" customHeight="1" x14ac:dyDescent="0.25">
      <c r="A17" s="538" t="s">
        <v>71</v>
      </c>
      <c r="B17" s="539"/>
      <c r="C17" s="539"/>
      <c r="D17" s="539"/>
      <c r="E17" s="540"/>
      <c r="F17" s="540"/>
      <c r="G17" s="540"/>
      <c r="H17" s="540"/>
      <c r="I17" s="540"/>
      <c r="J17" s="541"/>
    </row>
    <row r="18" spans="1:10" ht="16.149999999999999" customHeight="1" x14ac:dyDescent="0.25">
      <c r="A18" s="469" t="s">
        <v>829</v>
      </c>
      <c r="B18" s="469"/>
      <c r="C18" s="469"/>
      <c r="D18" s="469"/>
      <c r="E18" s="476"/>
      <c r="F18" s="476"/>
      <c r="G18" s="476"/>
      <c r="H18" s="476"/>
      <c r="I18" s="476"/>
      <c r="J18" s="476"/>
    </row>
    <row r="19" spans="1:10" ht="16.149999999999999" customHeight="1" x14ac:dyDescent="0.25">
      <c r="A19" s="469" t="s">
        <v>72</v>
      </c>
      <c r="B19" s="469"/>
      <c r="C19" s="469"/>
      <c r="D19" s="469"/>
      <c r="E19" s="476"/>
      <c r="F19" s="476"/>
      <c r="G19" s="476"/>
      <c r="H19" s="476"/>
      <c r="I19" s="476"/>
      <c r="J19" s="476"/>
    </row>
    <row r="20" spans="1:10" ht="16.149999999999999" customHeight="1" x14ac:dyDescent="0.25">
      <c r="A20" s="469"/>
      <c r="B20" s="469"/>
      <c r="C20" s="469"/>
      <c r="D20" s="469"/>
      <c r="E20" s="476"/>
      <c r="F20" s="476"/>
      <c r="G20" s="476"/>
      <c r="H20" s="476"/>
      <c r="I20" s="476"/>
      <c r="J20" s="476"/>
    </row>
    <row r="21" spans="1:10" ht="16.149999999999999" customHeight="1" x14ac:dyDescent="0.25">
      <c r="A21" s="469" t="s">
        <v>1071</v>
      </c>
      <c r="B21" s="469"/>
      <c r="C21" s="469"/>
      <c r="D21" s="469"/>
      <c r="E21" s="476"/>
      <c r="F21" s="476"/>
      <c r="G21" s="476"/>
      <c r="H21" s="476"/>
      <c r="I21" s="476"/>
      <c r="J21" s="476"/>
    </row>
    <row r="22" spans="1:10" ht="16.149999999999999" customHeight="1" x14ac:dyDescent="0.25">
      <c r="A22" s="469" t="s">
        <v>73</v>
      </c>
      <c r="B22" s="469"/>
      <c r="C22" s="469"/>
      <c r="D22" s="469"/>
      <c r="E22" s="542"/>
      <c r="F22" s="542"/>
      <c r="G22" s="542"/>
      <c r="H22" s="542"/>
      <c r="I22" s="542"/>
      <c r="J22" s="542"/>
    </row>
    <row r="23" spans="1:10" ht="16.899999999999999" customHeight="1" x14ac:dyDescent="0.25">
      <c r="A23" s="469" t="s">
        <v>1156</v>
      </c>
      <c r="B23" s="469"/>
      <c r="C23" s="469"/>
      <c r="D23" s="469"/>
      <c r="E23" s="543"/>
      <c r="F23" s="544"/>
      <c r="G23" s="544"/>
      <c r="H23" s="544"/>
      <c r="I23" s="544"/>
      <c r="J23" s="544"/>
    </row>
    <row r="24" spans="1:10" ht="16.149999999999999" customHeight="1" x14ac:dyDescent="0.25">
      <c r="A24" s="545" t="s">
        <v>774</v>
      </c>
      <c r="B24" s="545"/>
      <c r="C24" s="545"/>
      <c r="D24" s="545"/>
      <c r="E24" s="462" t="s">
        <v>830</v>
      </c>
      <c r="F24" s="462"/>
      <c r="G24" s="462"/>
      <c r="H24" s="463" t="s">
        <v>831</v>
      </c>
      <c r="I24" s="464"/>
      <c r="J24" s="465"/>
    </row>
    <row r="25" spans="1:10" ht="16.149999999999999" customHeight="1" x14ac:dyDescent="0.25">
      <c r="A25" s="469" t="s">
        <v>507</v>
      </c>
      <c r="B25" s="469"/>
      <c r="C25" s="469"/>
      <c r="D25" s="469"/>
      <c r="E25" s="470"/>
      <c r="F25" s="471"/>
      <c r="G25" s="472"/>
      <c r="H25" s="470"/>
      <c r="I25" s="471"/>
      <c r="J25" s="472"/>
    </row>
    <row r="26" spans="1:10" ht="16.149999999999999" customHeight="1" x14ac:dyDescent="0.25">
      <c r="A26" s="469" t="s">
        <v>775</v>
      </c>
      <c r="B26" s="469"/>
      <c r="C26" s="469"/>
      <c r="D26" s="469"/>
      <c r="E26" s="470"/>
      <c r="F26" s="471"/>
      <c r="G26" s="472"/>
      <c r="H26" s="470"/>
      <c r="I26" s="471"/>
      <c r="J26" s="472"/>
    </row>
    <row r="27" spans="1:10" ht="16.149999999999999" customHeight="1" x14ac:dyDescent="0.25">
      <c r="A27" s="469" t="s">
        <v>73</v>
      </c>
      <c r="B27" s="469"/>
      <c r="C27" s="469"/>
      <c r="D27" s="469"/>
      <c r="E27" s="473"/>
      <c r="F27" s="474"/>
      <c r="G27" s="475"/>
      <c r="H27" s="473"/>
      <c r="I27" s="474"/>
      <c r="J27" s="475"/>
    </row>
    <row r="28" spans="1:10" ht="16.149999999999999" customHeight="1" x14ac:dyDescent="0.25">
      <c r="A28" s="469" t="s">
        <v>74</v>
      </c>
      <c r="B28" s="469"/>
      <c r="C28" s="469"/>
      <c r="D28" s="469"/>
      <c r="E28" s="543"/>
      <c r="F28" s="544"/>
      <c r="G28" s="544"/>
      <c r="H28" s="543"/>
      <c r="I28" s="544"/>
      <c r="J28" s="544"/>
    </row>
    <row r="29" spans="1:10" ht="16.149999999999999" customHeight="1" x14ac:dyDescent="0.25">
      <c r="A29" s="549" t="s">
        <v>75</v>
      </c>
      <c r="B29" s="549"/>
      <c r="C29" s="549"/>
      <c r="D29" s="549"/>
      <c r="E29" s="550" t="s">
        <v>841</v>
      </c>
      <c r="F29" s="551"/>
      <c r="G29" s="551"/>
      <c r="H29" s="552"/>
      <c r="I29" s="553"/>
      <c r="J29" s="554"/>
    </row>
    <row r="30" spans="1:10" ht="16.149999999999999" customHeight="1" x14ac:dyDescent="0.25">
      <c r="A30" s="466" t="s">
        <v>76</v>
      </c>
      <c r="B30" s="467"/>
      <c r="C30" s="467"/>
      <c r="D30" s="468"/>
      <c r="E30" s="476"/>
      <c r="F30" s="476"/>
      <c r="G30" s="476"/>
      <c r="H30" s="476"/>
      <c r="I30" s="476"/>
      <c r="J30" s="476"/>
    </row>
    <row r="31" spans="1:10" ht="16.149999999999999" customHeight="1" x14ac:dyDescent="0.25">
      <c r="A31" s="466" t="s">
        <v>77</v>
      </c>
      <c r="B31" s="467"/>
      <c r="C31" s="467"/>
      <c r="D31" s="468"/>
      <c r="E31" s="476"/>
      <c r="F31" s="476"/>
      <c r="G31" s="476"/>
      <c r="H31" s="476"/>
      <c r="I31" s="476"/>
      <c r="J31" s="476"/>
    </row>
    <row r="32" spans="1:10" ht="16.149999999999999" customHeight="1" x14ac:dyDescent="0.25">
      <c r="A32" s="466" t="s">
        <v>78</v>
      </c>
      <c r="B32" s="467"/>
      <c r="C32" s="467"/>
      <c r="D32" s="468"/>
      <c r="E32" s="476"/>
      <c r="F32" s="476"/>
      <c r="G32" s="476"/>
      <c r="H32" s="476"/>
      <c r="I32" s="476"/>
      <c r="J32" s="476"/>
    </row>
    <row r="33" spans="1:10" ht="16.149999999999999" customHeight="1" x14ac:dyDescent="0.25">
      <c r="A33" s="466" t="s">
        <v>79</v>
      </c>
      <c r="B33" s="467"/>
      <c r="C33" s="467"/>
      <c r="D33" s="468"/>
      <c r="E33" s="476"/>
      <c r="F33" s="476"/>
      <c r="G33" s="476"/>
      <c r="H33" s="476"/>
      <c r="I33" s="476"/>
      <c r="J33" s="476"/>
    </row>
    <row r="34" spans="1:10" ht="31.15" customHeight="1" x14ac:dyDescent="0.25">
      <c r="A34" s="546" t="s">
        <v>1157</v>
      </c>
      <c r="B34" s="547"/>
      <c r="C34" s="547"/>
      <c r="D34" s="548"/>
      <c r="E34" s="555"/>
      <c r="F34" s="556"/>
      <c r="G34" s="556"/>
      <c r="H34" s="556"/>
      <c r="I34" s="556"/>
      <c r="J34" s="556"/>
    </row>
    <row r="35" spans="1:10" ht="16.149999999999999" customHeight="1" x14ac:dyDescent="0.25">
      <c r="A35" s="557" t="s">
        <v>80</v>
      </c>
      <c r="B35" s="557"/>
      <c r="C35" s="557"/>
      <c r="D35" s="557"/>
      <c r="E35" s="557"/>
      <c r="F35" s="557"/>
      <c r="G35" s="557"/>
      <c r="H35" s="557"/>
      <c r="I35" s="557"/>
      <c r="J35" s="557"/>
    </row>
    <row r="36" spans="1:10" ht="14.65" customHeight="1" x14ac:dyDescent="0.25">
      <c r="A36" s="558" t="s">
        <v>1306</v>
      </c>
      <c r="B36" s="559"/>
      <c r="C36" s="560"/>
      <c r="D36" s="486" t="s">
        <v>81</v>
      </c>
      <c r="E36" s="486"/>
      <c r="F36" s="486"/>
      <c r="G36" s="486"/>
      <c r="H36" s="486"/>
      <c r="I36" s="486"/>
      <c r="J36" s="486"/>
    </row>
    <row r="37" spans="1:10" ht="30.6" customHeight="1" x14ac:dyDescent="0.25">
      <c r="A37" s="558" t="s">
        <v>1307</v>
      </c>
      <c r="B37" s="559"/>
      <c r="C37" s="560"/>
      <c r="D37" s="486" t="s">
        <v>1147</v>
      </c>
      <c r="E37" s="486"/>
      <c r="F37" s="486"/>
      <c r="G37" s="486"/>
      <c r="H37" s="486"/>
      <c r="I37" s="486"/>
      <c r="J37" s="486"/>
    </row>
    <row r="38" spans="1:10" ht="29.1" customHeight="1" x14ac:dyDescent="0.25">
      <c r="A38" s="459" t="s">
        <v>1134</v>
      </c>
      <c r="B38" s="460"/>
      <c r="C38" s="461"/>
      <c r="D38" s="486" t="s">
        <v>1148</v>
      </c>
      <c r="E38" s="486"/>
      <c r="F38" s="486"/>
      <c r="G38" s="486"/>
      <c r="H38" s="486"/>
      <c r="I38" s="486"/>
      <c r="J38" s="486"/>
    </row>
    <row r="39" spans="1:10" ht="29.1" customHeight="1" x14ac:dyDescent="0.25">
      <c r="A39" s="459" t="s">
        <v>1135</v>
      </c>
      <c r="B39" s="460"/>
      <c r="C39" s="461"/>
      <c r="D39" s="486" t="s">
        <v>82</v>
      </c>
      <c r="E39" s="486"/>
      <c r="F39" s="486"/>
      <c r="G39" s="486"/>
      <c r="H39" s="486"/>
      <c r="I39" s="486"/>
      <c r="J39" s="486"/>
    </row>
    <row r="40" spans="1:10" ht="43.15" customHeight="1" x14ac:dyDescent="0.25">
      <c r="A40" s="459" t="s">
        <v>1308</v>
      </c>
      <c r="B40" s="460"/>
      <c r="C40" s="461"/>
      <c r="D40" s="486" t="s">
        <v>1149</v>
      </c>
      <c r="E40" s="486"/>
      <c r="F40" s="486"/>
      <c r="G40" s="486"/>
      <c r="H40" s="486"/>
      <c r="I40" s="486"/>
      <c r="J40" s="486"/>
    </row>
    <row r="41" spans="1:10" ht="30" customHeight="1" x14ac:dyDescent="0.25">
      <c r="A41" s="459" t="s">
        <v>1136</v>
      </c>
      <c r="B41" s="460"/>
      <c r="C41" s="461"/>
      <c r="D41" s="486" t="s">
        <v>83</v>
      </c>
      <c r="E41" s="486"/>
      <c r="F41" s="486"/>
      <c r="G41" s="486"/>
      <c r="H41" s="486"/>
      <c r="I41" s="486"/>
      <c r="J41" s="486"/>
    </row>
    <row r="42" spans="1:10" ht="43.35" customHeight="1" x14ac:dyDescent="0.25">
      <c r="A42" s="459" t="s">
        <v>1137</v>
      </c>
      <c r="B42" s="460"/>
      <c r="C42" s="461"/>
      <c r="D42" s="486" t="s">
        <v>1150</v>
      </c>
      <c r="E42" s="486"/>
      <c r="F42" s="486"/>
      <c r="G42" s="486"/>
      <c r="H42" s="486"/>
      <c r="I42" s="486"/>
      <c r="J42" s="486"/>
    </row>
    <row r="43" spans="1:10" ht="28.9" customHeight="1" x14ac:dyDescent="0.25">
      <c r="A43" s="459" t="s">
        <v>1138</v>
      </c>
      <c r="B43" s="460"/>
      <c r="C43" s="461"/>
      <c r="D43" s="486" t="s">
        <v>776</v>
      </c>
      <c r="E43" s="486"/>
      <c r="F43" s="486"/>
      <c r="G43" s="486"/>
      <c r="H43" s="486"/>
      <c r="I43" s="486"/>
      <c r="J43" s="486"/>
    </row>
    <row r="44" spans="1:10" ht="45" customHeight="1" x14ac:dyDescent="0.25">
      <c r="A44" s="459" t="s">
        <v>1139</v>
      </c>
      <c r="B44" s="460"/>
      <c r="C44" s="461"/>
      <c r="D44" s="486" t="s">
        <v>1179</v>
      </c>
      <c r="E44" s="486"/>
      <c r="F44" s="486"/>
      <c r="G44" s="486"/>
      <c r="H44" s="486"/>
      <c r="I44" s="486"/>
      <c r="J44" s="486"/>
    </row>
    <row r="45" spans="1:10" ht="15.6" customHeight="1" x14ac:dyDescent="0.25">
      <c r="A45" s="459" t="s">
        <v>1151</v>
      </c>
      <c r="B45" s="460"/>
      <c r="C45" s="461"/>
      <c r="D45" s="486" t="s">
        <v>1152</v>
      </c>
      <c r="E45" s="486"/>
      <c r="F45" s="486"/>
      <c r="G45" s="486"/>
      <c r="H45" s="486"/>
      <c r="I45" s="486"/>
      <c r="J45" s="486"/>
    </row>
    <row r="46" spans="1:10" ht="15.6" customHeight="1" x14ac:dyDescent="0.25">
      <c r="A46" s="459" t="s">
        <v>84</v>
      </c>
      <c r="B46" s="460"/>
      <c r="C46" s="461"/>
      <c r="D46" s="486" t="s">
        <v>85</v>
      </c>
      <c r="E46" s="486"/>
      <c r="F46" s="486"/>
      <c r="G46" s="486"/>
      <c r="H46" s="486"/>
      <c r="I46" s="486"/>
      <c r="J46" s="486"/>
    </row>
    <row r="47" spans="1:10" ht="22.5" customHeight="1" x14ac:dyDescent="0.25">
      <c r="A47" s="483" t="s">
        <v>1153</v>
      </c>
      <c r="B47" s="484"/>
      <c r="C47" s="484"/>
      <c r="D47" s="484"/>
      <c r="E47" s="484"/>
      <c r="F47" s="484"/>
      <c r="G47" s="484"/>
      <c r="H47" s="484"/>
      <c r="I47" s="484"/>
      <c r="J47" s="485"/>
    </row>
  </sheetData>
  <sheetProtection algorithmName="SHA-512" hashValue="3W7xYD3ngTGXJ282RdKL73O+iwLzbaMSknKGlBYDy/j6nwodb77eqvOOByFEY6tHIa8SLSQpss8EFH5b5OHoFA==" saltValue="bxdPfYQTm73KdEZKLCg3Jg==" spinCount="100000" sheet="1" objects="1" scenarios="1" formatRows="0" selectLockedCells="1"/>
  <mergeCells count="85">
    <mergeCell ref="D36:J36"/>
    <mergeCell ref="D38:J38"/>
    <mergeCell ref="D39:J39"/>
    <mergeCell ref="A35:J35"/>
    <mergeCell ref="A36:C36"/>
    <mergeCell ref="A37:C37"/>
    <mergeCell ref="D37:J37"/>
    <mergeCell ref="A38:C38"/>
    <mergeCell ref="A39:C39"/>
    <mergeCell ref="A34:D34"/>
    <mergeCell ref="H26:J26"/>
    <mergeCell ref="E28:G28"/>
    <mergeCell ref="A29:D29"/>
    <mergeCell ref="E29:H29"/>
    <mergeCell ref="I29:J29"/>
    <mergeCell ref="H28:J28"/>
    <mergeCell ref="A32:D32"/>
    <mergeCell ref="E34:J34"/>
    <mergeCell ref="E32:J32"/>
    <mergeCell ref="A33:D33"/>
    <mergeCell ref="E33:J33"/>
    <mergeCell ref="E31:J31"/>
    <mergeCell ref="A21:D21"/>
    <mergeCell ref="E20:J20"/>
    <mergeCell ref="E21:J21"/>
    <mergeCell ref="H27:J27"/>
    <mergeCell ref="A22:D22"/>
    <mergeCell ref="E22:J22"/>
    <mergeCell ref="A23:D23"/>
    <mergeCell ref="E23:J23"/>
    <mergeCell ref="A24:D24"/>
    <mergeCell ref="A16:J16"/>
    <mergeCell ref="A18:D18"/>
    <mergeCell ref="E18:J18"/>
    <mergeCell ref="A19:D20"/>
    <mergeCell ref="E19:J19"/>
    <mergeCell ref="A17:J17"/>
    <mergeCell ref="E1:G5"/>
    <mergeCell ref="A6:J6"/>
    <mergeCell ref="E7:J7"/>
    <mergeCell ref="E8:J8"/>
    <mergeCell ref="A12:D12"/>
    <mergeCell ref="A7:D9"/>
    <mergeCell ref="E9:J9"/>
    <mergeCell ref="A10:D10"/>
    <mergeCell ref="E10:G10"/>
    <mergeCell ref="E12:G12"/>
    <mergeCell ref="H11:J15"/>
    <mergeCell ref="H1:J5"/>
    <mergeCell ref="A11:D11"/>
    <mergeCell ref="E11:G11"/>
    <mergeCell ref="A14:D14"/>
    <mergeCell ref="A13:D13"/>
    <mergeCell ref="A15:D15"/>
    <mergeCell ref="E13:G13"/>
    <mergeCell ref="E14:G14"/>
    <mergeCell ref="E15:G15"/>
    <mergeCell ref="A47:J47"/>
    <mergeCell ref="D42:J42"/>
    <mergeCell ref="D40:J40"/>
    <mergeCell ref="D46:J46"/>
    <mergeCell ref="D45:J45"/>
    <mergeCell ref="D41:J41"/>
    <mergeCell ref="A41:C41"/>
    <mergeCell ref="A42:C42"/>
    <mergeCell ref="D43:J43"/>
    <mergeCell ref="A43:C43"/>
    <mergeCell ref="D44:J44"/>
    <mergeCell ref="A44:C44"/>
    <mergeCell ref="A40:C40"/>
    <mergeCell ref="A45:C45"/>
    <mergeCell ref="A46:C46"/>
    <mergeCell ref="E24:G24"/>
    <mergeCell ref="H24:J24"/>
    <mergeCell ref="A31:D31"/>
    <mergeCell ref="A28:D28"/>
    <mergeCell ref="A25:D25"/>
    <mergeCell ref="A26:D26"/>
    <mergeCell ref="A27:D27"/>
    <mergeCell ref="E25:G25"/>
    <mergeCell ref="E26:G26"/>
    <mergeCell ref="H25:J25"/>
    <mergeCell ref="E27:G27"/>
    <mergeCell ref="A30:D30"/>
    <mergeCell ref="E30:J30"/>
  </mergeCells>
  <conditionalFormatting sqref="E11">
    <cfRule type="containsText" dxfId="100" priority="1" operator="containsText" text="Not Met">
      <formula>NOT(ISERROR(SEARCH("Not Met",E11)))</formula>
    </cfRule>
  </conditionalFormatting>
  <conditionalFormatting sqref="E7:J8">
    <cfRule type="containsText" dxfId="99" priority="2" operator="containsText" text="Not Met">
      <formula>NOT(ISERROR(SEARCH("Not Met",E7)))</formula>
    </cfRule>
  </conditionalFormatting>
  <dataValidations count="6">
    <dataValidation type="list" allowBlank="1" showInputMessage="1" showErrorMessage="1" sqref="I29:J29" xr:uid="{00000000-0002-0000-0200-000000000000}">
      <formula1>MailCertTo</formula1>
    </dataValidation>
    <dataValidation type="whole" operator="greaterThan" allowBlank="1" showInputMessage="1" showErrorMessage="1" error="Number of bedrooms must be 1 or more" prompt="Input the number of bedrooms" sqref="E14" xr:uid="{00000000-0002-0000-0200-000001000000}">
      <formula1>0</formula1>
    </dataValidation>
    <dataValidation type="whole" allowBlank="1" showInputMessage="1" showErrorMessage="1" prompt="Input conditioned floor area of home " sqref="E12" xr:uid="{00000000-0002-0000-0200-000002000000}">
      <formula1>0</formula1>
      <formula2>30000</formula2>
    </dataValidation>
    <dataValidation allowBlank="1" showInputMessage="1" showErrorMessage="1" prompt="Input number of stories of the home_x000a_" sqref="E13" xr:uid="{00000000-0002-0000-0200-000003000000}"/>
    <dataValidation type="list" allowBlank="1" showInputMessage="1" showErrorMessage="1" sqref="E15" xr:uid="{00000000-0002-0000-0200-000004000000}">
      <formula1>ClimateZones</formula1>
    </dataValidation>
    <dataValidation type="list" allowBlank="1" showInputMessage="1" showErrorMessage="1" error="Must select County from drop-down list!" prompt="Select County from drop-down list._x000a_" sqref="H10:J10 E10:G10" xr:uid="{00000000-0002-0000-0200-000005000000}">
      <formula1>Counties2</formula1>
    </dataValidation>
  </dataValidations>
  <printOptions horizontalCentered="1"/>
  <pageMargins left="0.6" right="0.5" top="0.75" bottom="0.75" header="0.3" footer="0.3"/>
  <pageSetup scale="80" fitToHeight="2" orientation="portrait" r:id="rId1"/>
  <headerFooter>
    <oddHeader>&amp;L&amp;F&amp;R&amp;A</oddHead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fitToPage="1"/>
  </sheetPr>
  <dimension ref="A1:AI404"/>
  <sheetViews>
    <sheetView tabSelected="1" zoomScale="90" zoomScaleNormal="90" workbookViewId="0">
      <pane ySplit="1" topLeftCell="A2" activePane="bottomLeft" state="frozen"/>
      <selection pane="bottomLeft" activeCell="L14" sqref="L14"/>
    </sheetView>
  </sheetViews>
  <sheetFormatPr defaultColWidth="11.28515625" defaultRowHeight="15" x14ac:dyDescent="0.25"/>
  <cols>
    <col min="1" max="1" width="10.7109375" customWidth="1"/>
    <col min="2" max="2" width="3" customWidth="1"/>
    <col min="3" max="3" width="24" customWidth="1"/>
    <col min="4" max="11" width="7" customWidth="1"/>
    <col min="12" max="12" width="15.28515625" customWidth="1"/>
    <col min="13" max="13" width="16.28515625" customWidth="1"/>
    <col min="14" max="15" width="15.7109375" customWidth="1"/>
    <col min="16" max="19" width="7.28515625" customWidth="1"/>
    <col min="20" max="20" width="9.7109375" hidden="1" customWidth="1"/>
    <col min="21" max="22" width="11.28515625" hidden="1" customWidth="1"/>
    <col min="23" max="52" width="0" hidden="1" customWidth="1"/>
  </cols>
  <sheetData>
    <row r="1" spans="1:20" ht="15" customHeight="1" x14ac:dyDescent="0.25">
      <c r="A1" s="828" t="s">
        <v>86</v>
      </c>
      <c r="B1" s="829"/>
      <c r="C1" s="830" t="s">
        <v>87</v>
      </c>
      <c r="D1" s="830"/>
      <c r="E1" s="830"/>
      <c r="F1" s="830"/>
      <c r="G1" s="830"/>
      <c r="H1" s="830"/>
      <c r="I1" s="830"/>
      <c r="J1" s="830"/>
      <c r="K1" s="830"/>
      <c r="L1" s="106" t="s">
        <v>88</v>
      </c>
      <c r="M1" s="106" t="s">
        <v>89</v>
      </c>
      <c r="N1" s="829" t="s">
        <v>90</v>
      </c>
      <c r="O1" s="829"/>
      <c r="P1" s="829"/>
      <c r="Q1" s="829"/>
      <c r="R1" s="829"/>
      <c r="S1" s="831"/>
      <c r="T1" t="s">
        <v>924</v>
      </c>
    </row>
    <row r="2" spans="1:20" ht="19.899999999999999" customHeight="1" x14ac:dyDescent="0.25">
      <c r="A2" s="832"/>
      <c r="B2" s="833"/>
      <c r="C2" s="834"/>
      <c r="D2" s="841" t="s">
        <v>1014</v>
      </c>
      <c r="E2" s="842"/>
      <c r="F2" s="842"/>
      <c r="G2" s="843"/>
      <c r="H2" s="846" t="s">
        <v>91</v>
      </c>
      <c r="I2" s="847"/>
      <c r="J2" s="847"/>
      <c r="K2" s="848" t="str">
        <f>IF('3 Project Information'!E7="","",'3 Project Information'!E7)</f>
        <v/>
      </c>
      <c r="L2" s="849"/>
      <c r="M2" s="849"/>
      <c r="N2" s="850"/>
      <c r="O2" s="851" t="s">
        <v>92</v>
      </c>
      <c r="P2" s="852"/>
      <c r="Q2" s="852"/>
      <c r="R2" s="852"/>
      <c r="S2" s="853"/>
      <c r="T2" s="107"/>
    </row>
    <row r="3" spans="1:20" ht="19.899999999999999" customHeight="1" x14ac:dyDescent="0.25">
      <c r="A3" s="835"/>
      <c r="B3" s="836"/>
      <c r="C3" s="837"/>
      <c r="D3" s="844"/>
      <c r="E3" s="844"/>
      <c r="F3" s="844"/>
      <c r="G3" s="845"/>
      <c r="H3" s="876" t="s">
        <v>1070</v>
      </c>
      <c r="I3" s="877"/>
      <c r="J3" s="877"/>
      <c r="K3" s="879" t="str">
        <f>IF('3 Project Information'!E8="","",'3 Project Information'!E8)</f>
        <v/>
      </c>
      <c r="L3" s="880"/>
      <c r="M3" s="880"/>
      <c r="N3" s="881"/>
      <c r="O3" s="882" t="s">
        <v>93</v>
      </c>
      <c r="P3" s="883"/>
      <c r="Q3" s="883"/>
      <c r="R3" s="884" t="str">
        <f>IF(CZ="","",CZ)</f>
        <v/>
      </c>
      <c r="S3" s="885"/>
      <c r="T3" s="107"/>
    </row>
    <row r="4" spans="1:20" ht="19.899999999999999" customHeight="1" x14ac:dyDescent="0.25">
      <c r="A4" s="835"/>
      <c r="B4" s="836"/>
      <c r="C4" s="837"/>
      <c r="D4" s="844"/>
      <c r="E4" s="844"/>
      <c r="F4" s="844"/>
      <c r="G4" s="845"/>
      <c r="H4" s="878"/>
      <c r="I4" s="877"/>
      <c r="J4" s="877"/>
      <c r="K4" s="886" t="str">
        <f>IF('3 Project Information'!E9="","",'3 Project Information'!E9)</f>
        <v/>
      </c>
      <c r="L4" s="887"/>
      <c r="M4" s="887"/>
      <c r="N4" s="888"/>
      <c r="O4" s="889" t="s">
        <v>94</v>
      </c>
      <c r="P4" s="890"/>
      <c r="Q4" s="890"/>
      <c r="R4" s="891" t="str">
        <f>IF(CFA="","",CFA)</f>
        <v/>
      </c>
      <c r="S4" s="892"/>
      <c r="T4" s="107"/>
    </row>
    <row r="5" spans="1:20" ht="19.899999999999999" customHeight="1" x14ac:dyDescent="0.25">
      <c r="A5" s="838"/>
      <c r="B5" s="839"/>
      <c r="C5" s="840"/>
      <c r="D5" s="893">
        <f>VersionNo.</f>
        <v>2024.08</v>
      </c>
      <c r="E5" s="893"/>
      <c r="F5" s="893"/>
      <c r="G5" s="893"/>
      <c r="H5" s="893"/>
      <c r="I5" s="893"/>
      <c r="J5" s="893"/>
      <c r="K5" s="893"/>
      <c r="L5" s="893"/>
      <c r="M5" s="893"/>
      <c r="N5" s="894"/>
      <c r="O5" s="854" t="s">
        <v>95</v>
      </c>
      <c r="P5" s="855"/>
      <c r="Q5" s="855"/>
      <c r="R5" s="856" t="str">
        <f>IF(Bedrooms="","",Bedrooms)</f>
        <v/>
      </c>
      <c r="S5" s="857"/>
      <c r="T5" s="107"/>
    </row>
    <row r="6" spans="1:20" ht="19.899999999999999" customHeight="1" x14ac:dyDescent="0.25">
      <c r="A6" s="451"/>
      <c r="B6" s="450"/>
      <c r="C6" s="450"/>
      <c r="D6" s="895"/>
      <c r="E6" s="895"/>
      <c r="F6" s="895"/>
      <c r="G6" s="895"/>
      <c r="H6" s="895"/>
      <c r="I6" s="895"/>
      <c r="J6" s="895"/>
      <c r="K6" s="895"/>
      <c r="L6" s="895"/>
      <c r="M6" s="895"/>
      <c r="N6" s="896"/>
      <c r="O6" s="897" t="s">
        <v>1171</v>
      </c>
      <c r="P6" s="898"/>
      <c r="Q6" s="898"/>
      <c r="R6" s="899" t="str">
        <f>IF(PermitDate="","",PermitDate)</f>
        <v/>
      </c>
      <c r="S6" s="900"/>
      <c r="T6" s="107"/>
    </row>
    <row r="7" spans="1:20" s="108" customFormat="1" ht="30" customHeight="1" x14ac:dyDescent="0.25">
      <c r="A7" s="905" t="s">
        <v>1383</v>
      </c>
      <c r="B7" s="906"/>
      <c r="C7" s="906"/>
      <c r="D7" s="906"/>
      <c r="E7" s="906"/>
      <c r="F7" s="906"/>
      <c r="G7" s="906"/>
      <c r="H7" s="906"/>
      <c r="I7" s="906"/>
      <c r="J7" s="906"/>
      <c r="K7" s="906"/>
      <c r="L7" s="906"/>
      <c r="M7" s="906"/>
      <c r="N7" s="906"/>
      <c r="O7" s="906"/>
      <c r="P7" s="906"/>
      <c r="Q7" s="906"/>
      <c r="R7" s="906"/>
      <c r="S7" s="907"/>
      <c r="T7" s="109"/>
    </row>
    <row r="8" spans="1:20" ht="18" customHeight="1" x14ac:dyDescent="0.25">
      <c r="A8" s="901" t="s">
        <v>96</v>
      </c>
      <c r="B8" s="902"/>
      <c r="C8" s="902"/>
      <c r="D8" s="902"/>
      <c r="E8" s="902"/>
      <c r="F8" s="902"/>
      <c r="G8" s="902"/>
      <c r="H8" s="902"/>
      <c r="I8" s="902"/>
      <c r="J8" s="902"/>
      <c r="K8" s="902"/>
      <c r="L8" s="902"/>
      <c r="M8" s="902"/>
      <c r="N8" s="902"/>
      <c r="O8" s="902"/>
      <c r="P8" s="902"/>
      <c r="Q8" s="902"/>
      <c r="R8" s="902"/>
      <c r="S8" s="903"/>
      <c r="T8" s="107"/>
    </row>
    <row r="9" spans="1:20" ht="15" customHeight="1" thickBot="1" x14ac:dyDescent="0.3">
      <c r="A9" s="904" t="s">
        <v>97</v>
      </c>
      <c r="B9" s="904"/>
      <c r="C9" s="904"/>
      <c r="D9" s="904"/>
      <c r="E9" s="904"/>
      <c r="F9" s="904"/>
      <c r="G9" s="904"/>
      <c r="H9" s="904"/>
      <c r="I9" s="904"/>
      <c r="J9" s="904"/>
      <c r="K9" s="904"/>
      <c r="L9" s="904"/>
      <c r="M9" s="904"/>
      <c r="N9" s="904"/>
      <c r="O9" s="904"/>
      <c r="P9" s="904"/>
      <c r="Q9" s="904"/>
      <c r="R9" s="904"/>
      <c r="S9" s="904"/>
      <c r="T9" s="107"/>
    </row>
    <row r="10" spans="1:20" ht="15" customHeight="1" thickTop="1" x14ac:dyDescent="0.25">
      <c r="A10" s="920" t="s">
        <v>1108</v>
      </c>
      <c r="B10" s="921"/>
      <c r="C10" s="908" t="s">
        <v>787</v>
      </c>
      <c r="D10" s="909"/>
      <c r="E10" s="909"/>
      <c r="F10" s="909"/>
      <c r="G10" s="909"/>
      <c r="H10" s="909"/>
      <c r="I10" s="909"/>
      <c r="J10" s="909"/>
      <c r="K10" s="910" t="s">
        <v>1225</v>
      </c>
      <c r="L10" s="911"/>
      <c r="M10" s="911"/>
      <c r="N10" s="911"/>
      <c r="O10" s="911"/>
      <c r="P10" s="911"/>
      <c r="Q10" s="911"/>
      <c r="R10" s="911"/>
      <c r="S10" s="912"/>
      <c r="T10" s="107"/>
    </row>
    <row r="11" spans="1:20" ht="15" customHeight="1" x14ac:dyDescent="0.25">
      <c r="A11" s="922"/>
      <c r="B11" s="923"/>
      <c r="C11" s="919" t="s">
        <v>786</v>
      </c>
      <c r="D11" s="919"/>
      <c r="E11" s="919"/>
      <c r="F11" s="110" t="s">
        <v>4</v>
      </c>
      <c r="G11" s="110" t="s">
        <v>5</v>
      </c>
      <c r="H11" s="110" t="s">
        <v>6</v>
      </c>
      <c r="I11" s="110" t="s">
        <v>7</v>
      </c>
      <c r="J11" s="110" t="s">
        <v>8</v>
      </c>
      <c r="K11" s="913"/>
      <c r="L11" s="914"/>
      <c r="M11" s="914"/>
      <c r="N11" s="914"/>
      <c r="O11" s="914"/>
      <c r="P11" s="914"/>
      <c r="Q11" s="914"/>
      <c r="R11" s="914"/>
      <c r="S11" s="915"/>
      <c r="T11" s="107"/>
    </row>
    <row r="12" spans="1:20" ht="15" customHeight="1" x14ac:dyDescent="0.25">
      <c r="A12" s="922"/>
      <c r="B12" s="923"/>
      <c r="C12" s="858" t="s">
        <v>98</v>
      </c>
      <c r="D12" s="859"/>
      <c r="E12" s="860"/>
      <c r="F12" s="111">
        <v>47</v>
      </c>
      <c r="G12" s="111">
        <v>51</v>
      </c>
      <c r="H12" s="111">
        <v>52</v>
      </c>
      <c r="I12" s="111">
        <v>52</v>
      </c>
      <c r="J12" s="111">
        <v>52</v>
      </c>
      <c r="K12" s="913"/>
      <c r="L12" s="914"/>
      <c r="M12" s="914"/>
      <c r="N12" s="914"/>
      <c r="O12" s="914"/>
      <c r="P12" s="914"/>
      <c r="Q12" s="914"/>
      <c r="R12" s="914"/>
      <c r="S12" s="915"/>
      <c r="T12" s="107"/>
    </row>
    <row r="13" spans="1:20" ht="15" customHeight="1" thickBot="1" x14ac:dyDescent="0.3">
      <c r="A13" s="924"/>
      <c r="B13" s="925"/>
      <c r="C13" s="861" t="s">
        <v>99</v>
      </c>
      <c r="D13" s="862"/>
      <c r="E13" s="863"/>
      <c r="F13" s="112">
        <v>40</v>
      </c>
      <c r="G13" s="112">
        <v>43</v>
      </c>
      <c r="H13" s="112">
        <v>44</v>
      </c>
      <c r="I13" s="112">
        <v>44</v>
      </c>
      <c r="J13" s="112">
        <v>44</v>
      </c>
      <c r="K13" s="916"/>
      <c r="L13" s="917"/>
      <c r="M13" s="917"/>
      <c r="N13" s="917"/>
      <c r="O13" s="917"/>
      <c r="P13" s="917"/>
      <c r="Q13" s="917"/>
      <c r="R13" s="917"/>
      <c r="S13" s="918"/>
      <c r="T13" s="107"/>
    </row>
    <row r="14" spans="1:20" ht="24" customHeight="1" thickTop="1" x14ac:dyDescent="0.25">
      <c r="A14" s="705" t="s">
        <v>100</v>
      </c>
      <c r="B14" s="707"/>
      <c r="C14" s="864" t="s">
        <v>932</v>
      </c>
      <c r="D14" s="865"/>
      <c r="E14" s="865"/>
      <c r="F14" s="865"/>
      <c r="G14" s="865"/>
      <c r="H14" s="865"/>
      <c r="I14" s="865"/>
      <c r="J14" s="865"/>
      <c r="K14" s="866"/>
      <c r="L14" s="75"/>
      <c r="M14" s="867" t="s">
        <v>1109</v>
      </c>
      <c r="N14" s="868"/>
      <c r="O14" s="868"/>
      <c r="P14" s="868"/>
      <c r="Q14" s="868"/>
      <c r="R14" s="868"/>
      <c r="S14" s="869"/>
    </row>
    <row r="15" spans="1:20" ht="57.75" customHeight="1" x14ac:dyDescent="0.25">
      <c r="A15" s="838"/>
      <c r="B15" s="840"/>
      <c r="C15" s="873" t="s">
        <v>1010</v>
      </c>
      <c r="D15" s="874"/>
      <c r="E15" s="874"/>
      <c r="F15" s="874"/>
      <c r="G15" s="874"/>
      <c r="H15" s="874"/>
      <c r="I15" s="874"/>
      <c r="J15" s="874"/>
      <c r="K15" s="875"/>
      <c r="L15" s="113" t="str">
        <f>IF(L14="","",H348)</f>
        <v/>
      </c>
      <c r="M15" s="870"/>
      <c r="N15" s="871"/>
      <c r="O15" s="871"/>
      <c r="P15" s="871"/>
      <c r="Q15" s="871"/>
      <c r="R15" s="871"/>
      <c r="S15" s="872"/>
    </row>
    <row r="16" spans="1:20" ht="25.15" customHeight="1" x14ac:dyDescent="0.25">
      <c r="A16" s="759" t="s">
        <v>101</v>
      </c>
      <c r="B16" s="760"/>
      <c r="C16" s="939" t="s">
        <v>1328</v>
      </c>
      <c r="D16" s="940"/>
      <c r="E16" s="940"/>
      <c r="F16" s="940"/>
      <c r="G16" s="940"/>
      <c r="H16" s="940"/>
      <c r="I16" s="940"/>
      <c r="J16" s="940"/>
      <c r="K16" s="941"/>
      <c r="L16" s="945" t="s">
        <v>1110</v>
      </c>
      <c r="M16" s="946"/>
      <c r="N16" s="947" t="s">
        <v>1180</v>
      </c>
      <c r="O16" s="948"/>
      <c r="P16" s="948"/>
      <c r="Q16" s="948"/>
      <c r="R16" s="948"/>
      <c r="S16" s="949"/>
    </row>
    <row r="17" spans="1:25" ht="25.15" customHeight="1" x14ac:dyDescent="0.25">
      <c r="A17" s="926"/>
      <c r="B17" s="707"/>
      <c r="C17" s="942"/>
      <c r="D17" s="943"/>
      <c r="E17" s="943"/>
      <c r="F17" s="943"/>
      <c r="G17" s="943"/>
      <c r="H17" s="943"/>
      <c r="I17" s="943"/>
      <c r="J17" s="943"/>
      <c r="K17" s="944"/>
      <c r="L17" s="945"/>
      <c r="M17" s="946"/>
      <c r="N17" s="950"/>
      <c r="O17" s="951"/>
      <c r="P17" s="951"/>
      <c r="Q17" s="951"/>
      <c r="R17" s="951"/>
      <c r="S17" s="952"/>
    </row>
    <row r="18" spans="1:25" ht="25.15" customHeight="1" x14ac:dyDescent="0.25">
      <c r="A18" s="926"/>
      <c r="B18" s="707"/>
      <c r="C18" s="942"/>
      <c r="D18" s="943"/>
      <c r="E18" s="943"/>
      <c r="F18" s="943"/>
      <c r="G18" s="943"/>
      <c r="H18" s="943"/>
      <c r="I18" s="943"/>
      <c r="J18" s="943"/>
      <c r="K18" s="944"/>
      <c r="L18" s="945"/>
      <c r="M18" s="946"/>
      <c r="N18" s="950"/>
      <c r="O18" s="951"/>
      <c r="P18" s="951"/>
      <c r="Q18" s="951"/>
      <c r="R18" s="951"/>
      <c r="S18" s="952"/>
      <c r="X18" s="114"/>
      <c r="Y18" s="115"/>
    </row>
    <row r="19" spans="1:25" ht="30" x14ac:dyDescent="0.25">
      <c r="A19" s="838"/>
      <c r="B19" s="840"/>
      <c r="C19" s="956" t="s">
        <v>102</v>
      </c>
      <c r="D19" s="957"/>
      <c r="E19" s="957"/>
      <c r="F19" s="116" t="s">
        <v>4</v>
      </c>
      <c r="G19" s="116" t="s">
        <v>5</v>
      </c>
      <c r="H19" s="116" t="s">
        <v>6</v>
      </c>
      <c r="I19" s="116" t="s">
        <v>7</v>
      </c>
      <c r="J19" s="116" t="s">
        <v>8</v>
      </c>
      <c r="K19" s="117"/>
      <c r="L19" s="227" t="s">
        <v>103</v>
      </c>
      <c r="M19" s="414" t="str">
        <f>IF(HERSIndex="","Enter HERS Index above",IF(CZ="","",ROUND(IF(CZ=3,E376,IF(CZ=4,E381,IF(CZ=5,E386,IF(CZ=6,E391,IF(CZ=7,E396,"CZ ???"))))),1)))</f>
        <v>Enter HERS Index above</v>
      </c>
      <c r="N19" s="953"/>
      <c r="O19" s="954"/>
      <c r="P19" s="954"/>
      <c r="Q19" s="954"/>
      <c r="R19" s="954"/>
      <c r="S19" s="955"/>
    </row>
    <row r="20" spans="1:25" ht="18.75" customHeight="1" x14ac:dyDescent="0.25">
      <c r="A20" s="958" t="s">
        <v>1183</v>
      </c>
      <c r="B20" s="958"/>
      <c r="C20" s="958"/>
      <c r="D20" s="958"/>
      <c r="E20" s="958"/>
      <c r="F20" s="958"/>
      <c r="G20" s="958"/>
      <c r="H20" s="958"/>
      <c r="I20" s="958"/>
      <c r="J20" s="958"/>
      <c r="K20" s="958"/>
      <c r="L20" s="958"/>
      <c r="M20" s="958"/>
      <c r="N20" s="958"/>
      <c r="O20" s="958"/>
      <c r="P20" s="958"/>
      <c r="Q20" s="958"/>
      <c r="R20" s="958"/>
      <c r="S20" s="958"/>
    </row>
    <row r="21" spans="1:25" ht="30.4" customHeight="1" x14ac:dyDescent="0.25">
      <c r="A21" s="759" t="s">
        <v>104</v>
      </c>
      <c r="B21" s="760"/>
      <c r="C21" s="927" t="s">
        <v>1329</v>
      </c>
      <c r="D21" s="928"/>
      <c r="E21" s="928"/>
      <c r="F21" s="928"/>
      <c r="G21" s="928"/>
      <c r="H21" s="928"/>
      <c r="I21" s="928"/>
      <c r="J21" s="928"/>
      <c r="K21" s="928"/>
      <c r="L21" s="929"/>
      <c r="M21" s="930"/>
      <c r="N21" s="591" t="s">
        <v>1181</v>
      </c>
      <c r="O21" s="931"/>
      <c r="P21" s="931"/>
      <c r="Q21" s="931"/>
      <c r="R21" s="931"/>
      <c r="S21" s="932"/>
    </row>
    <row r="22" spans="1:25" ht="18" customHeight="1" x14ac:dyDescent="0.25">
      <c r="A22" s="926"/>
      <c r="B22" s="707"/>
      <c r="C22" s="936" t="s">
        <v>1120</v>
      </c>
      <c r="D22" s="937"/>
      <c r="E22" s="937"/>
      <c r="F22" s="937"/>
      <c r="G22" s="937"/>
      <c r="H22" s="937"/>
      <c r="I22" s="937"/>
      <c r="J22" s="937"/>
      <c r="K22" s="937"/>
      <c r="L22" s="937"/>
      <c r="M22" s="80"/>
      <c r="N22" s="913"/>
      <c r="O22" s="914"/>
      <c r="P22" s="914"/>
      <c r="Q22" s="914"/>
      <c r="R22" s="914"/>
      <c r="S22" s="915"/>
    </row>
    <row r="23" spans="1:25" ht="18" customHeight="1" x14ac:dyDescent="0.25">
      <c r="A23" s="926"/>
      <c r="B23" s="707"/>
      <c r="C23" s="936" t="s">
        <v>936</v>
      </c>
      <c r="D23" s="937"/>
      <c r="E23" s="937"/>
      <c r="F23" s="937"/>
      <c r="G23" s="937"/>
      <c r="H23" s="937"/>
      <c r="I23" s="937"/>
      <c r="J23" s="937"/>
      <c r="K23" s="937"/>
      <c r="L23" s="937"/>
      <c r="M23" s="80"/>
      <c r="N23" s="913"/>
      <c r="O23" s="914"/>
      <c r="P23" s="914"/>
      <c r="Q23" s="914"/>
      <c r="R23" s="914"/>
      <c r="S23" s="915"/>
    </row>
    <row r="24" spans="1:25" ht="30.6" customHeight="1" x14ac:dyDescent="0.25">
      <c r="A24" s="838"/>
      <c r="B24" s="840"/>
      <c r="C24" s="938" t="s">
        <v>1121</v>
      </c>
      <c r="D24" s="938"/>
      <c r="E24" s="938"/>
      <c r="F24" s="938"/>
      <c r="G24" s="938"/>
      <c r="H24" s="938"/>
      <c r="I24" s="938"/>
      <c r="J24" s="938"/>
      <c r="K24" s="938"/>
      <c r="L24" s="118" t="s">
        <v>106</v>
      </c>
      <c r="M24" s="119" t="str">
        <f>IF(OR(M22="",M23=""),"NEED INPUTS ABOVE",IF(M22&gt;=M23,"In Compliance",IF(M22&lt;M23,"FAILED OVERALL UA")))</f>
        <v>NEED INPUTS ABOVE</v>
      </c>
      <c r="N24" s="933"/>
      <c r="O24" s="934"/>
      <c r="P24" s="934"/>
      <c r="Q24" s="934"/>
      <c r="R24" s="934"/>
      <c r="S24" s="935"/>
    </row>
    <row r="25" spans="1:25" ht="30.6" customHeight="1" x14ac:dyDescent="0.25">
      <c r="A25" s="650" t="s">
        <v>107</v>
      </c>
      <c r="B25" s="651"/>
      <c r="C25" s="652" t="s">
        <v>1316</v>
      </c>
      <c r="D25" s="653"/>
      <c r="E25" s="653"/>
      <c r="F25" s="653"/>
      <c r="G25" s="653"/>
      <c r="H25" s="653"/>
      <c r="I25" s="653"/>
      <c r="J25" s="653"/>
      <c r="K25" s="653"/>
      <c r="L25" s="227"/>
      <c r="M25" s="227"/>
      <c r="N25" s="654"/>
      <c r="O25" s="655"/>
      <c r="P25" s="655"/>
      <c r="Q25" s="655"/>
      <c r="R25" s="655"/>
      <c r="S25" s="656"/>
    </row>
    <row r="26" spans="1:25" ht="46.15" customHeight="1" x14ac:dyDescent="0.25">
      <c r="A26" s="692"/>
      <c r="B26" s="693"/>
      <c r="C26" s="657" t="s">
        <v>1330</v>
      </c>
      <c r="D26" s="657"/>
      <c r="E26" s="657"/>
      <c r="F26" s="657"/>
      <c r="G26" s="657"/>
      <c r="H26" s="657"/>
      <c r="I26" s="657"/>
      <c r="J26" s="657"/>
      <c r="K26" s="657"/>
      <c r="L26" s="118" t="s">
        <v>106</v>
      </c>
      <c r="M26" s="226"/>
      <c r="N26" s="563"/>
      <c r="O26" s="563"/>
      <c r="P26" s="563"/>
      <c r="Q26" s="563"/>
      <c r="R26" s="563"/>
      <c r="S26" s="563"/>
    </row>
    <row r="27" spans="1:25" ht="93" customHeight="1" x14ac:dyDescent="0.25">
      <c r="A27" s="658"/>
      <c r="B27" s="659"/>
      <c r="C27" s="657" t="s">
        <v>1292</v>
      </c>
      <c r="D27" s="657"/>
      <c r="E27" s="657"/>
      <c r="F27" s="657"/>
      <c r="G27" s="657"/>
      <c r="H27" s="657"/>
      <c r="I27" s="657"/>
      <c r="J27" s="657"/>
      <c r="K27" s="657"/>
      <c r="L27" s="227" t="s">
        <v>1293</v>
      </c>
      <c r="M27" s="225"/>
      <c r="N27" s="609"/>
      <c r="O27" s="609"/>
      <c r="P27" s="609"/>
      <c r="Q27" s="609"/>
      <c r="R27" s="609"/>
      <c r="S27" s="609"/>
    </row>
    <row r="28" spans="1:25" ht="50.45" customHeight="1" x14ac:dyDescent="0.25">
      <c r="A28" s="759" t="s">
        <v>1231</v>
      </c>
      <c r="B28" s="978"/>
      <c r="C28" s="671" t="s">
        <v>1233</v>
      </c>
      <c r="D28" s="672"/>
      <c r="E28" s="672"/>
      <c r="F28" s="672"/>
      <c r="G28" s="672"/>
      <c r="H28" s="672"/>
      <c r="I28" s="672"/>
      <c r="J28" s="672"/>
      <c r="K28" s="672"/>
      <c r="L28" s="673"/>
      <c r="M28" s="674"/>
      <c r="N28" s="980"/>
      <c r="O28" s="981"/>
      <c r="P28" s="981"/>
      <c r="Q28" s="981"/>
      <c r="R28" s="981"/>
      <c r="S28" s="981"/>
    </row>
    <row r="29" spans="1:25" ht="54" customHeight="1" x14ac:dyDescent="0.25">
      <c r="A29" s="705"/>
      <c r="B29" s="979"/>
      <c r="C29" s="675" t="s">
        <v>1245</v>
      </c>
      <c r="D29" s="676"/>
      <c r="E29" s="676"/>
      <c r="F29" s="676"/>
      <c r="G29" s="676"/>
      <c r="H29" s="677"/>
      <c r="I29" s="678"/>
      <c r="J29" s="679"/>
      <c r="K29" s="680"/>
      <c r="L29" s="581" t="s">
        <v>106</v>
      </c>
      <c r="M29" s="581" t="str">
        <f>IF(I29="No","NOT APPLICABLE - No ducted HVAC system(s).  Proceed to practice 1.2.4.",IF(AND(I29="Yes",OR(I30="Yes",I30="No"),I32="With air handler",I34&lt;=4,I37&lt;=3),"DUCT LEAKAGE TESTS PASSED",IF(AND(I29="Yes",OR(I30="Yes",I30="No"),I32="Without air handler",I34&lt;=3,I37&lt;=3),"DUCT LEAKAGE TESTS PASSED","DUCT LEAKAGE TESTS ISSUE - BGNM CANNOT CERTIFY THIS PROJECT.  Review all responses for practices 1.2.3(a), 1.2.3(b), 1.2.3(c) and 1.2.3(d)")))</f>
        <v>DUCT LEAKAGE TESTS ISSUE - BGNM CANNOT CERTIFY THIS PROJECT.  Review all responses for practices 1.2.3(a), 1.2.3(b), 1.2.3(c) and 1.2.3(d)</v>
      </c>
      <c r="N29" s="748"/>
      <c r="O29" s="749"/>
      <c r="P29" s="749"/>
      <c r="Q29" s="749"/>
      <c r="R29" s="749"/>
      <c r="S29" s="750"/>
    </row>
    <row r="30" spans="1:25" ht="87.6" customHeight="1" x14ac:dyDescent="0.25">
      <c r="A30" s="926"/>
      <c r="B30" s="707"/>
      <c r="C30" s="663" t="s">
        <v>1249</v>
      </c>
      <c r="D30" s="681"/>
      <c r="E30" s="681"/>
      <c r="F30" s="681"/>
      <c r="G30" s="681"/>
      <c r="H30" s="682"/>
      <c r="I30" s="683"/>
      <c r="J30" s="684"/>
      <c r="K30" s="685"/>
      <c r="L30" s="616"/>
      <c r="M30" s="669"/>
      <c r="N30" s="988"/>
      <c r="O30" s="989"/>
      <c r="P30" s="989"/>
      <c r="Q30" s="989"/>
      <c r="R30" s="989"/>
      <c r="S30" s="990"/>
    </row>
    <row r="31" spans="1:25" ht="60.6" customHeight="1" x14ac:dyDescent="0.25">
      <c r="A31" s="926"/>
      <c r="B31" s="707"/>
      <c r="C31" s="663" t="s">
        <v>1255</v>
      </c>
      <c r="D31" s="664"/>
      <c r="E31" s="664"/>
      <c r="F31" s="664"/>
      <c r="G31" s="664"/>
      <c r="H31" s="664"/>
      <c r="I31" s="664"/>
      <c r="J31" s="664"/>
      <c r="K31" s="665"/>
      <c r="L31" s="616"/>
      <c r="M31" s="669"/>
      <c r="N31" s="751"/>
      <c r="O31" s="752"/>
      <c r="P31" s="752"/>
      <c r="Q31" s="752"/>
      <c r="R31" s="752"/>
      <c r="S31" s="753"/>
    </row>
    <row r="32" spans="1:25" ht="26.45" customHeight="1" x14ac:dyDescent="0.25">
      <c r="A32" s="926"/>
      <c r="B32" s="707"/>
      <c r="C32" s="686" t="s">
        <v>1250</v>
      </c>
      <c r="D32" s="687"/>
      <c r="E32" s="687"/>
      <c r="F32" s="687"/>
      <c r="G32" s="687"/>
      <c r="H32" s="688"/>
      <c r="I32" s="683"/>
      <c r="J32" s="684"/>
      <c r="K32" s="685"/>
      <c r="L32" s="616"/>
      <c r="M32" s="669"/>
      <c r="N32" s="751"/>
      <c r="O32" s="752"/>
      <c r="P32" s="752"/>
      <c r="Q32" s="752"/>
      <c r="R32" s="752"/>
      <c r="S32" s="753"/>
    </row>
    <row r="33" spans="1:19" ht="30" customHeight="1" x14ac:dyDescent="0.25">
      <c r="A33" s="926"/>
      <c r="B33" s="707"/>
      <c r="C33" s="686" t="s">
        <v>1251</v>
      </c>
      <c r="D33" s="687"/>
      <c r="E33" s="687"/>
      <c r="F33" s="687"/>
      <c r="G33" s="687"/>
      <c r="H33" s="688"/>
      <c r="I33" s="689"/>
      <c r="J33" s="690"/>
      <c r="K33" s="691"/>
      <c r="L33" s="616"/>
      <c r="M33" s="669"/>
      <c r="N33" s="751"/>
      <c r="O33" s="752"/>
      <c r="P33" s="752"/>
      <c r="Q33" s="752"/>
      <c r="R33" s="752"/>
      <c r="S33" s="753"/>
    </row>
    <row r="34" spans="1:19" ht="30" customHeight="1" x14ac:dyDescent="0.25">
      <c r="A34" s="926"/>
      <c r="B34" s="707"/>
      <c r="C34" s="686" t="s">
        <v>1246</v>
      </c>
      <c r="D34" s="687"/>
      <c r="E34" s="687"/>
      <c r="F34" s="687"/>
      <c r="G34" s="687"/>
      <c r="H34" s="688"/>
      <c r="I34" s="660" t="str">
        <f>IF(I33="","",I33/(CFA/100))</f>
        <v/>
      </c>
      <c r="J34" s="661"/>
      <c r="K34" s="662"/>
      <c r="L34" s="616"/>
      <c r="M34" s="669"/>
      <c r="N34" s="751"/>
      <c r="O34" s="752"/>
      <c r="P34" s="752"/>
      <c r="Q34" s="752"/>
      <c r="R34" s="752"/>
      <c r="S34" s="753"/>
    </row>
    <row r="35" spans="1:19" ht="87.6" customHeight="1" x14ac:dyDescent="0.25">
      <c r="A35" s="926"/>
      <c r="B35" s="707"/>
      <c r="C35" s="663" t="s">
        <v>1244</v>
      </c>
      <c r="D35" s="664"/>
      <c r="E35" s="664"/>
      <c r="F35" s="664"/>
      <c r="G35" s="664"/>
      <c r="H35" s="664"/>
      <c r="I35" s="664"/>
      <c r="J35" s="664"/>
      <c r="K35" s="665"/>
      <c r="L35" s="668"/>
      <c r="M35" s="670"/>
      <c r="N35" s="751"/>
      <c r="O35" s="752"/>
      <c r="P35" s="752"/>
      <c r="Q35" s="752"/>
      <c r="R35" s="752"/>
      <c r="S35" s="753"/>
    </row>
    <row r="36" spans="1:19" ht="39" customHeight="1" x14ac:dyDescent="0.25">
      <c r="A36" s="926"/>
      <c r="B36" s="707"/>
      <c r="C36" s="686" t="s">
        <v>1247</v>
      </c>
      <c r="D36" s="687"/>
      <c r="E36" s="687"/>
      <c r="F36" s="687"/>
      <c r="G36" s="687"/>
      <c r="H36" s="688"/>
      <c r="I36" s="982"/>
      <c r="J36" s="983"/>
      <c r="K36" s="984"/>
      <c r="L36" s="666">
        <v>5</v>
      </c>
      <c r="M36" s="666" t="str">
        <f>IF(M29="NOT APPLICABLE - No ducted HVAC system(s).  Proceed to practice 1.2.4.",0,IF(AND(M29="DUCT LEAKAGE TESTS PASSED",I30="Yes",I32="With air handler",I34&lt;=4,I37&lt;=2),5,IF(AND(M29="DUCT LEAKAGE TESTS PASSED",I30="Yes",I32="With air handler",I34&lt;=4,I37&lt;=3),3,IF(AND(M29="DUCT LEAKAGE TESTS PASSED",I30="Yes",I32="Without air handler",I34&lt;=3,I37&lt;=2),5,IF(AND(M29="DUCT LEAKAGE TESTS PASSED",I30="Yes",I32="Without air handler",I34&lt;=3,I37&lt;=3),3,IF(AND(M29="DUCT LEAKAGE TESTS PASSED",I30="No",I32="With air handler",I34&lt;=4,I37&lt;=2),2,IF(AND(M29="DUCT LEAKAGE TESTS PASSED",I30="No",I32="With air handler",I34&lt;=4,I37&lt;=3),0,IF(AND(M29="DUCT LEAKAGE TESTS PASSED",I30="No",I32="Without air handler",I34&lt;=3,I37&lt;=2),2,IF(AND(M29="DUCT LEAKAGE TESTS PASSED",I30="No",I32="Without air handler",I34&lt;=3,I37&lt;=3),0,"")))))))))</f>
        <v/>
      </c>
      <c r="N36" s="751"/>
      <c r="O36" s="752"/>
      <c r="P36" s="752"/>
      <c r="Q36" s="752"/>
      <c r="R36" s="752"/>
      <c r="S36" s="753"/>
    </row>
    <row r="37" spans="1:19" ht="39" customHeight="1" x14ac:dyDescent="0.25">
      <c r="A37" s="838"/>
      <c r="B37" s="840"/>
      <c r="C37" s="686" t="s">
        <v>1248</v>
      </c>
      <c r="D37" s="687"/>
      <c r="E37" s="687"/>
      <c r="F37" s="687"/>
      <c r="G37" s="687"/>
      <c r="H37" s="688"/>
      <c r="I37" s="985" t="str">
        <f>IF(I36="","",I36/(CFA/100))</f>
        <v/>
      </c>
      <c r="J37" s="986"/>
      <c r="K37" s="987"/>
      <c r="L37" s="667"/>
      <c r="M37" s="667"/>
      <c r="N37" s="754"/>
      <c r="O37" s="755"/>
      <c r="P37" s="755"/>
      <c r="Q37" s="755"/>
      <c r="R37" s="755"/>
      <c r="S37" s="756"/>
    </row>
    <row r="38" spans="1:19" ht="60" customHeight="1" x14ac:dyDescent="0.25">
      <c r="A38" s="708" t="s">
        <v>1125</v>
      </c>
      <c r="B38" s="645"/>
      <c r="C38" s="720" t="s">
        <v>1201</v>
      </c>
      <c r="D38" s="721"/>
      <c r="E38" s="721"/>
      <c r="F38" s="721"/>
      <c r="G38" s="721"/>
      <c r="H38" s="721"/>
      <c r="I38" s="721"/>
      <c r="J38" s="721"/>
      <c r="K38" s="722"/>
      <c r="L38" s="581" t="s">
        <v>114</v>
      </c>
      <c r="M38" s="669" t="str">
        <f>IF(I41="","ACH50 ?",IF(I41&lt;=2.5,2,(IF(AND(I41&gt;2.5,I41&lt;=3),0,"CANNOT CERTIFY, HOME IS TOO LEAKY"))))</f>
        <v>ACH50 ?</v>
      </c>
      <c r="N38" s="723" t="s">
        <v>1188</v>
      </c>
      <c r="O38" s="724"/>
      <c r="P38" s="724"/>
      <c r="Q38" s="724"/>
      <c r="R38" s="724"/>
      <c r="S38" s="725"/>
    </row>
    <row r="39" spans="1:19" ht="30" customHeight="1" x14ac:dyDescent="0.25">
      <c r="A39" s="274"/>
      <c r="B39" s="121"/>
      <c r="C39" s="757" t="s">
        <v>1202</v>
      </c>
      <c r="D39" s="713"/>
      <c r="E39" s="758"/>
      <c r="F39" s="727" t="s">
        <v>116</v>
      </c>
      <c r="G39" s="727"/>
      <c r="H39" s="728"/>
      <c r="I39" s="734" t="s">
        <v>1186</v>
      </c>
      <c r="J39" s="735"/>
      <c r="K39" s="419"/>
      <c r="L39" s="616"/>
      <c r="M39" s="616"/>
      <c r="N39" s="995"/>
      <c r="O39" s="996"/>
      <c r="P39" s="996"/>
      <c r="Q39" s="996"/>
      <c r="R39" s="996"/>
      <c r="S39" s="997"/>
    </row>
    <row r="40" spans="1:19" ht="30" customHeight="1" x14ac:dyDescent="0.25">
      <c r="A40" s="274"/>
      <c r="B40" s="121"/>
      <c r="C40" s="757" t="s">
        <v>1203</v>
      </c>
      <c r="D40" s="713"/>
      <c r="E40" s="758"/>
      <c r="F40" s="727" t="s">
        <v>115</v>
      </c>
      <c r="G40" s="727"/>
      <c r="H40" s="728"/>
      <c r="I40" s="736"/>
      <c r="J40" s="737"/>
      <c r="K40" s="738"/>
      <c r="L40" s="616"/>
      <c r="M40" s="616"/>
      <c r="N40" s="995"/>
      <c r="O40" s="996"/>
      <c r="P40" s="996"/>
      <c r="Q40" s="996"/>
      <c r="R40" s="996"/>
      <c r="S40" s="997"/>
    </row>
    <row r="41" spans="1:19" ht="30" customHeight="1" x14ac:dyDescent="0.25">
      <c r="A41" s="274"/>
      <c r="B41" s="121"/>
      <c r="C41" s="757" t="s">
        <v>1204</v>
      </c>
      <c r="D41" s="713"/>
      <c r="E41" s="758"/>
      <c r="F41" s="732" t="s">
        <v>807</v>
      </c>
      <c r="G41" s="732"/>
      <c r="H41" s="733"/>
      <c r="I41" s="729"/>
      <c r="J41" s="730"/>
      <c r="K41" s="731"/>
      <c r="L41" s="582"/>
      <c r="M41" s="582"/>
      <c r="N41" s="998"/>
      <c r="O41" s="999"/>
      <c r="P41" s="999"/>
      <c r="Q41" s="999"/>
      <c r="R41" s="999"/>
      <c r="S41" s="1000"/>
    </row>
    <row r="42" spans="1:19" ht="58.9" customHeight="1" x14ac:dyDescent="0.25">
      <c r="A42" s="709" t="s">
        <v>1126</v>
      </c>
      <c r="B42" s="489"/>
      <c r="C42" s="739" t="s">
        <v>1011</v>
      </c>
      <c r="D42" s="695"/>
      <c r="E42" s="695"/>
      <c r="F42" s="695"/>
      <c r="G42" s="695"/>
      <c r="H42" s="695"/>
      <c r="I42" s="695"/>
      <c r="J42" s="695"/>
      <c r="K42" s="696"/>
      <c r="L42" s="122" t="s">
        <v>1016</v>
      </c>
      <c r="M42" s="581" t="str">
        <f>IF(L43="Yes",1,IF(L43="No","Home does not qualify for 2021 SBTC",""))</f>
        <v/>
      </c>
      <c r="N42" s="740"/>
      <c r="O42" s="741"/>
      <c r="P42" s="741"/>
      <c r="Q42" s="741"/>
      <c r="R42" s="741"/>
      <c r="S42" s="742"/>
    </row>
    <row r="43" spans="1:19" ht="15" customHeight="1" x14ac:dyDescent="0.25">
      <c r="A43" s="123"/>
      <c r="B43" s="124"/>
      <c r="C43" s="746" t="s">
        <v>1333</v>
      </c>
      <c r="D43" s="718"/>
      <c r="E43" s="718"/>
      <c r="F43" s="718"/>
      <c r="G43" s="718"/>
      <c r="H43" s="718"/>
      <c r="I43" s="718"/>
      <c r="J43" s="718"/>
      <c r="K43" s="719"/>
      <c r="L43" s="293"/>
      <c r="M43" s="667"/>
      <c r="N43" s="754"/>
      <c r="O43" s="755"/>
      <c r="P43" s="755"/>
      <c r="Q43" s="755"/>
      <c r="R43" s="755"/>
      <c r="S43" s="756"/>
    </row>
    <row r="44" spans="1:19" ht="104.45" customHeight="1" x14ac:dyDescent="0.25">
      <c r="A44" s="709" t="s">
        <v>1127</v>
      </c>
      <c r="B44" s="489"/>
      <c r="C44" s="739" t="s">
        <v>1334</v>
      </c>
      <c r="D44" s="695"/>
      <c r="E44" s="695"/>
      <c r="F44" s="695"/>
      <c r="G44" s="695"/>
      <c r="H44" s="695"/>
      <c r="I44" s="695"/>
      <c r="J44" s="695"/>
      <c r="K44" s="696"/>
      <c r="L44" s="125" t="s">
        <v>1017</v>
      </c>
      <c r="M44" s="581" t="str">
        <f>IF(L45="Yes",3,IF(L45="No","Home does not qualify for 2021 SBTC",""))</f>
        <v/>
      </c>
      <c r="N44" s="740"/>
      <c r="O44" s="741"/>
      <c r="P44" s="741"/>
      <c r="Q44" s="741"/>
      <c r="R44" s="741"/>
      <c r="S44" s="742"/>
    </row>
    <row r="45" spans="1:19" ht="15" customHeight="1" x14ac:dyDescent="0.25">
      <c r="A45" s="123"/>
      <c r="B45" s="124"/>
      <c r="C45" s="746" t="s">
        <v>1335</v>
      </c>
      <c r="D45" s="718"/>
      <c r="E45" s="718"/>
      <c r="F45" s="718"/>
      <c r="G45" s="718"/>
      <c r="H45" s="718"/>
      <c r="I45" s="718"/>
      <c r="J45" s="718"/>
      <c r="K45" s="719"/>
      <c r="L45" s="293"/>
      <c r="M45" s="667"/>
      <c r="N45" s="743"/>
      <c r="O45" s="744"/>
      <c r="P45" s="744"/>
      <c r="Q45" s="744"/>
      <c r="R45" s="744"/>
      <c r="S45" s="745"/>
    </row>
    <row r="46" spans="1:19" ht="73.900000000000006" customHeight="1" x14ac:dyDescent="0.25">
      <c r="A46" s="1317" t="s">
        <v>1182</v>
      </c>
      <c r="B46" s="489"/>
      <c r="C46" s="747" t="s">
        <v>1019</v>
      </c>
      <c r="D46" s="695"/>
      <c r="E46" s="695"/>
      <c r="F46" s="695"/>
      <c r="G46" s="695"/>
      <c r="H46" s="695"/>
      <c r="I46" s="695"/>
      <c r="J46" s="695"/>
      <c r="K46" s="696"/>
      <c r="L46" s="125" t="s">
        <v>264</v>
      </c>
      <c r="M46" s="581" t="str">
        <f>IF(AND(L47="Yes",L48="Yes",L49="Yes"),3,IF(OR(L47="No",L48="No",L49="No"),"",""))</f>
        <v/>
      </c>
      <c r="N46" s="748"/>
      <c r="O46" s="749"/>
      <c r="P46" s="749"/>
      <c r="Q46" s="749"/>
      <c r="R46" s="749"/>
      <c r="S46" s="750"/>
    </row>
    <row r="47" spans="1:19" ht="30.95" customHeight="1" x14ac:dyDescent="0.25">
      <c r="A47" s="1309" t="s">
        <v>1015</v>
      </c>
      <c r="B47" s="1310"/>
      <c r="C47" s="1313" t="s">
        <v>1005</v>
      </c>
      <c r="D47" s="1314"/>
      <c r="E47" s="1314"/>
      <c r="F47" s="1314"/>
      <c r="G47" s="1314"/>
      <c r="H47" s="1314"/>
      <c r="I47" s="1314"/>
      <c r="J47" s="1314"/>
      <c r="K47" s="1315"/>
      <c r="L47" s="293"/>
      <c r="M47" s="669"/>
      <c r="N47" s="751"/>
      <c r="O47" s="752"/>
      <c r="P47" s="752"/>
      <c r="Q47" s="752"/>
      <c r="R47" s="752"/>
      <c r="S47" s="753"/>
    </row>
    <row r="48" spans="1:19" ht="17.45" customHeight="1" x14ac:dyDescent="0.25">
      <c r="A48" s="1309"/>
      <c r="B48" s="1310"/>
      <c r="C48" s="1316" t="s">
        <v>1006</v>
      </c>
      <c r="D48" s="718"/>
      <c r="E48" s="718"/>
      <c r="F48" s="718"/>
      <c r="G48" s="718"/>
      <c r="H48" s="718"/>
      <c r="I48" s="718"/>
      <c r="J48" s="718"/>
      <c r="K48" s="719"/>
      <c r="L48" s="293"/>
      <c r="M48" s="669"/>
      <c r="N48" s="751"/>
      <c r="O48" s="752"/>
      <c r="P48" s="752"/>
      <c r="Q48" s="752"/>
      <c r="R48" s="752"/>
      <c r="S48" s="753"/>
    </row>
    <row r="49" spans="1:20" ht="17.100000000000001" customHeight="1" x14ac:dyDescent="0.25">
      <c r="A49" s="1311"/>
      <c r="B49" s="1312"/>
      <c r="C49" s="1316" t="s">
        <v>1007</v>
      </c>
      <c r="D49" s="718"/>
      <c r="E49" s="718"/>
      <c r="F49" s="718"/>
      <c r="G49" s="718"/>
      <c r="H49" s="718"/>
      <c r="I49" s="718"/>
      <c r="J49" s="718"/>
      <c r="K49" s="719"/>
      <c r="L49" s="293"/>
      <c r="M49" s="667"/>
      <c r="N49" s="754"/>
      <c r="O49" s="755"/>
      <c r="P49" s="755"/>
      <c r="Q49" s="755"/>
      <c r="R49" s="755"/>
      <c r="S49" s="756"/>
    </row>
    <row r="50" spans="1:20" ht="46.9" customHeight="1" x14ac:dyDescent="0.25">
      <c r="A50" s="650" t="s">
        <v>1184</v>
      </c>
      <c r="B50" s="959"/>
      <c r="C50" s="960" t="s">
        <v>1230</v>
      </c>
      <c r="D50" s="961"/>
      <c r="E50" s="961"/>
      <c r="F50" s="961"/>
      <c r="G50" s="961"/>
      <c r="H50" s="961"/>
      <c r="I50" s="961"/>
      <c r="J50" s="961"/>
      <c r="K50" s="961"/>
      <c r="L50" s="962"/>
      <c r="M50" s="962"/>
      <c r="N50" s="962"/>
      <c r="O50" s="962"/>
      <c r="P50" s="962"/>
      <c r="Q50" s="962"/>
      <c r="R50" s="962"/>
      <c r="S50" s="963"/>
    </row>
    <row r="51" spans="1:20" ht="21" customHeight="1" x14ac:dyDescent="0.25">
      <c r="A51" s="692"/>
      <c r="B51" s="693"/>
      <c r="C51" s="973" t="s">
        <v>1098</v>
      </c>
      <c r="D51" s="974"/>
      <c r="E51" s="974"/>
      <c r="F51" s="974"/>
      <c r="G51" s="974"/>
      <c r="H51" s="975" t="s">
        <v>1103</v>
      </c>
      <c r="I51" s="975"/>
      <c r="J51" s="975"/>
      <c r="K51" s="976"/>
      <c r="L51" s="964"/>
      <c r="M51" s="965"/>
      <c r="N51" s="965"/>
      <c r="O51" s="965"/>
      <c r="P51" s="965"/>
      <c r="Q51" s="965"/>
      <c r="R51" s="965"/>
      <c r="S51" s="966"/>
    </row>
    <row r="52" spans="1:20" ht="21" customHeight="1" x14ac:dyDescent="0.25">
      <c r="A52" s="692"/>
      <c r="B52" s="693"/>
      <c r="C52" s="973" t="s">
        <v>1099</v>
      </c>
      <c r="D52" s="974"/>
      <c r="E52" s="974"/>
      <c r="F52" s="974"/>
      <c r="G52" s="974"/>
      <c r="H52" s="421" t="s">
        <v>1104</v>
      </c>
      <c r="I52" s="421"/>
      <c r="J52" s="421"/>
      <c r="K52" s="977"/>
      <c r="L52" s="967"/>
      <c r="M52" s="968"/>
      <c r="N52" s="968"/>
      <c r="O52" s="968"/>
      <c r="P52" s="968"/>
      <c r="Q52" s="968"/>
      <c r="R52" s="968"/>
      <c r="S52" s="969"/>
    </row>
    <row r="53" spans="1:20" ht="18.75" customHeight="1" x14ac:dyDescent="0.25">
      <c r="A53" s="692"/>
      <c r="B53" s="693"/>
      <c r="C53" s="973" t="s">
        <v>1100</v>
      </c>
      <c r="D53" s="974"/>
      <c r="E53" s="974"/>
      <c r="F53" s="974"/>
      <c r="G53" s="974"/>
      <c r="H53" s="421"/>
      <c r="I53" s="421"/>
      <c r="J53" s="421"/>
      <c r="K53" s="977"/>
      <c r="L53" s="967"/>
      <c r="M53" s="968"/>
      <c r="N53" s="968"/>
      <c r="O53" s="968"/>
      <c r="P53" s="968"/>
      <c r="Q53" s="968"/>
      <c r="R53" s="968"/>
      <c r="S53" s="969"/>
    </row>
    <row r="54" spans="1:20" ht="19.5" customHeight="1" x14ac:dyDescent="0.25">
      <c r="A54" s="692"/>
      <c r="B54" s="693"/>
      <c r="C54" s="973" t="s">
        <v>1101</v>
      </c>
      <c r="D54" s="974"/>
      <c r="E54" s="974"/>
      <c r="F54" s="974"/>
      <c r="G54" s="974"/>
      <c r="H54" s="421"/>
      <c r="I54" s="421"/>
      <c r="J54" s="421"/>
      <c r="K54" s="977"/>
      <c r="L54" s="967"/>
      <c r="M54" s="968"/>
      <c r="N54" s="968"/>
      <c r="O54" s="968"/>
      <c r="P54" s="968"/>
      <c r="Q54" s="968"/>
      <c r="R54" s="968"/>
      <c r="S54" s="969"/>
    </row>
    <row r="55" spans="1:20" ht="21" customHeight="1" x14ac:dyDescent="0.25">
      <c r="A55" s="658"/>
      <c r="B55" s="659"/>
      <c r="C55" s="973" t="s">
        <v>1102</v>
      </c>
      <c r="D55" s="974"/>
      <c r="E55" s="974"/>
      <c r="F55" s="974"/>
      <c r="G55" s="974"/>
      <c r="H55" s="975" t="s">
        <v>1105</v>
      </c>
      <c r="I55" s="975"/>
      <c r="J55" s="975"/>
      <c r="K55" s="976"/>
      <c r="L55" s="970"/>
      <c r="M55" s="971"/>
      <c r="N55" s="971"/>
      <c r="O55" s="971"/>
      <c r="P55" s="971"/>
      <c r="Q55" s="971"/>
      <c r="R55" s="971"/>
      <c r="S55" s="972"/>
    </row>
    <row r="56" spans="1:20" ht="101.65" customHeight="1" x14ac:dyDescent="0.25">
      <c r="A56" s="759" t="s">
        <v>1185</v>
      </c>
      <c r="B56" s="760"/>
      <c r="C56" s="1001" t="s">
        <v>1336</v>
      </c>
      <c r="D56" s="1002"/>
      <c r="E56" s="1002"/>
      <c r="F56" s="1002"/>
      <c r="G56" s="1002"/>
      <c r="H56" s="1002"/>
      <c r="I56" s="1002"/>
      <c r="J56" s="1002"/>
      <c r="K56" s="1003"/>
      <c r="L56" s="87"/>
      <c r="M56" s="105" t="str">
        <f>IF(L56="Yes","Review Energy Efficiency Summary section, below, then skip to Water Efficiency section","")</f>
        <v/>
      </c>
      <c r="N56" s="640"/>
      <c r="O56" s="641"/>
      <c r="P56" s="641"/>
      <c r="Q56" s="641"/>
      <c r="R56" s="641"/>
      <c r="S56" s="642"/>
    </row>
    <row r="57" spans="1:20" ht="12" customHeight="1" x14ac:dyDescent="0.25">
      <c r="A57" s="838"/>
      <c r="B57" s="840"/>
      <c r="C57" s="1004"/>
      <c r="D57" s="1005"/>
      <c r="E57" s="1005"/>
      <c r="F57" s="1005"/>
      <c r="G57" s="1005"/>
      <c r="H57" s="1005"/>
      <c r="I57" s="1005"/>
      <c r="J57" s="1005"/>
      <c r="K57" s="1006"/>
      <c r="L57" s="227">
        <v>15</v>
      </c>
      <c r="M57" s="126">
        <f>IF(L56="Yes",15,0)</f>
        <v>0</v>
      </c>
      <c r="N57" s="640"/>
      <c r="O57" s="641"/>
      <c r="P57" s="641"/>
      <c r="Q57" s="641"/>
      <c r="R57" s="641"/>
      <c r="S57" s="642"/>
    </row>
    <row r="58" spans="1:20" x14ac:dyDescent="0.25">
      <c r="A58" s="726" t="s">
        <v>797</v>
      </c>
      <c r="B58" s="673"/>
      <c r="C58" s="673"/>
      <c r="D58" s="673"/>
      <c r="E58" s="673"/>
      <c r="F58" s="673"/>
      <c r="G58" s="673"/>
      <c r="H58" s="673"/>
      <c r="I58" s="673"/>
      <c r="J58" s="673"/>
      <c r="K58" s="673"/>
      <c r="L58" s="673"/>
      <c r="M58" s="673"/>
      <c r="N58" s="673"/>
      <c r="O58" s="673"/>
      <c r="P58" s="673"/>
      <c r="Q58" s="673"/>
      <c r="R58" s="673"/>
      <c r="S58" s="674"/>
      <c r="T58" s="107"/>
    </row>
    <row r="59" spans="1:20" ht="60.6" customHeight="1" x14ac:dyDescent="0.25">
      <c r="A59" s="759" t="s">
        <v>112</v>
      </c>
      <c r="B59" s="1011"/>
      <c r="C59" s="694" t="s">
        <v>105</v>
      </c>
      <c r="D59" s="695"/>
      <c r="E59" s="695"/>
      <c r="F59" s="695"/>
      <c r="G59" s="695"/>
      <c r="H59" s="696"/>
      <c r="I59" s="697"/>
      <c r="J59" s="698"/>
      <c r="K59" s="699"/>
      <c r="L59" s="118" t="s">
        <v>106</v>
      </c>
      <c r="M59" s="227" t="str">
        <f>IF(I59="In Compliance","In Compliance",IF(I59="Not Applicable (See Note)","In Compliance",IF(I59="Not Met","Not Met",IF(I59="","Enter response in cell to left"))))</f>
        <v>Enter response in cell to left</v>
      </c>
      <c r="N59" s="710" t="s">
        <v>1123</v>
      </c>
      <c r="O59" s="710"/>
      <c r="P59" s="710"/>
      <c r="Q59" s="710"/>
      <c r="R59" s="710"/>
      <c r="S59" s="710"/>
      <c r="T59" s="127"/>
    </row>
    <row r="60" spans="1:20" ht="60" customHeight="1" x14ac:dyDescent="0.25">
      <c r="A60" s="648"/>
      <c r="B60" s="840"/>
      <c r="C60" s="712" t="s">
        <v>1369</v>
      </c>
      <c r="D60" s="713"/>
      <c r="E60" s="713"/>
      <c r="F60" s="713"/>
      <c r="G60" s="713"/>
      <c r="H60" s="713"/>
      <c r="I60" s="697"/>
      <c r="J60" s="698"/>
      <c r="K60" s="699"/>
      <c r="L60" s="118" t="s">
        <v>106</v>
      </c>
      <c r="M60" s="227" t="str">
        <f>IF(I60="Yes","In Compliance",IF(I60="No","Not Met",IF(I60="","Enter response in cell to left")))</f>
        <v>Enter response in cell to left</v>
      </c>
      <c r="N60" s="711"/>
      <c r="O60" s="711"/>
      <c r="P60" s="711"/>
      <c r="Q60" s="711"/>
      <c r="R60" s="711"/>
      <c r="S60" s="711"/>
      <c r="T60" s="127"/>
    </row>
    <row r="61" spans="1:20" ht="31.9" customHeight="1" x14ac:dyDescent="0.25">
      <c r="A61" s="241" t="s">
        <v>798</v>
      </c>
      <c r="B61" s="275"/>
      <c r="C61" s="643" t="s">
        <v>108</v>
      </c>
      <c r="D61" s="643"/>
      <c r="E61" s="643"/>
      <c r="F61" s="643"/>
      <c r="G61" s="643"/>
      <c r="H61" s="643"/>
      <c r="I61" s="643"/>
      <c r="J61" s="643"/>
      <c r="K61" s="643"/>
      <c r="L61" s="714" t="s">
        <v>1124</v>
      </c>
      <c r="M61" s="715"/>
      <c r="N61" s="715"/>
      <c r="O61" s="715"/>
      <c r="P61" s="715"/>
      <c r="Q61" s="715"/>
      <c r="R61" s="715"/>
      <c r="S61" s="716"/>
      <c r="T61" s="107"/>
    </row>
    <row r="62" spans="1:20" ht="60.95" customHeight="1" x14ac:dyDescent="0.25">
      <c r="A62" s="276"/>
      <c r="B62" s="128"/>
      <c r="C62" s="717" t="s">
        <v>109</v>
      </c>
      <c r="D62" s="718"/>
      <c r="E62" s="718"/>
      <c r="F62" s="718"/>
      <c r="G62" s="718"/>
      <c r="H62" s="719"/>
      <c r="I62" s="701"/>
      <c r="J62" s="698"/>
      <c r="K62" s="699"/>
      <c r="L62" s="227" t="s">
        <v>106</v>
      </c>
      <c r="M62" s="227" t="str">
        <f>IF(I62="In Compliance","In Compliance",IF(I62="Not Applicable (See Note)","In Compliance",IF(I62="Not Met","Not Met",IF(I62="","Enter response in cell to left"))))</f>
        <v>Enter response in cell to left</v>
      </c>
      <c r="N62" s="711"/>
      <c r="O62" s="711"/>
      <c r="P62" s="711"/>
      <c r="Q62" s="711"/>
      <c r="R62" s="711"/>
      <c r="S62" s="711"/>
      <c r="T62" s="107"/>
    </row>
    <row r="63" spans="1:20" ht="58.9" customHeight="1" x14ac:dyDescent="0.25">
      <c r="A63" s="276"/>
      <c r="B63" s="128"/>
      <c r="C63" s="717" t="s">
        <v>110</v>
      </c>
      <c r="D63" s="718"/>
      <c r="E63" s="718"/>
      <c r="F63" s="718"/>
      <c r="G63" s="718"/>
      <c r="H63" s="719"/>
      <c r="I63" s="701"/>
      <c r="J63" s="698"/>
      <c r="K63" s="699"/>
      <c r="L63" s="227" t="s">
        <v>106</v>
      </c>
      <c r="M63" s="227" t="str">
        <f>IF(I63="In Compliance","In Compliance",IF(I63="Not Applicable (See Note)","In Compliance",IF(I63="Not Met","Not Met",IF(I63="","Enter response in cell to left"))))</f>
        <v>Enter response in cell to left</v>
      </c>
      <c r="N63" s="711"/>
      <c r="O63" s="711"/>
      <c r="P63" s="711"/>
      <c r="Q63" s="711"/>
      <c r="R63" s="711"/>
      <c r="S63" s="711"/>
      <c r="T63" s="129"/>
    </row>
    <row r="64" spans="1:20" ht="74.45" customHeight="1" x14ac:dyDescent="0.25">
      <c r="A64" s="276"/>
      <c r="B64" s="128"/>
      <c r="C64" s="717" t="s">
        <v>1213</v>
      </c>
      <c r="D64" s="718"/>
      <c r="E64" s="718"/>
      <c r="F64" s="718"/>
      <c r="G64" s="718"/>
      <c r="H64" s="719"/>
      <c r="I64" s="701"/>
      <c r="J64" s="698"/>
      <c r="K64" s="699"/>
      <c r="L64" s="227" t="s">
        <v>106</v>
      </c>
      <c r="M64" s="227" t="str">
        <f>IF(I64="In Compliance","In Compliance",IF(I64="Not Applicable","In Compliance",IF(I64="Not Met","Not Met",IF(I64="","Enter response in cell to left"))))</f>
        <v>Enter response in cell to left</v>
      </c>
      <c r="N64" s="711"/>
      <c r="O64" s="711"/>
      <c r="P64" s="711"/>
      <c r="Q64" s="711"/>
      <c r="R64" s="711"/>
      <c r="S64" s="711"/>
      <c r="T64" s="107"/>
    </row>
    <row r="65" spans="1:20" ht="45.6" customHeight="1" x14ac:dyDescent="0.25">
      <c r="A65" s="276"/>
      <c r="B65" s="128"/>
      <c r="C65" s="700" t="s">
        <v>834</v>
      </c>
      <c r="D65" s="700"/>
      <c r="E65" s="700"/>
      <c r="F65" s="700"/>
      <c r="G65" s="700"/>
      <c r="H65" s="700"/>
      <c r="I65" s="700"/>
      <c r="J65" s="700"/>
      <c r="K65" s="700"/>
      <c r="L65" s="227">
        <v>1</v>
      </c>
      <c r="M65" s="214"/>
      <c r="N65" s="711"/>
      <c r="O65" s="711"/>
      <c r="P65" s="711"/>
      <c r="Q65" s="711"/>
      <c r="R65" s="711"/>
      <c r="S65" s="711"/>
      <c r="T65" s="107"/>
    </row>
    <row r="66" spans="1:20" ht="77.45" customHeight="1" x14ac:dyDescent="0.25">
      <c r="A66" s="276"/>
      <c r="B66" s="128"/>
      <c r="C66" s="700" t="s">
        <v>939</v>
      </c>
      <c r="D66" s="700"/>
      <c r="E66" s="700"/>
      <c r="F66" s="700"/>
      <c r="G66" s="700"/>
      <c r="H66" s="700"/>
      <c r="I66" s="700"/>
      <c r="J66" s="700"/>
      <c r="K66" s="700"/>
      <c r="L66" s="227">
        <v>2</v>
      </c>
      <c r="M66" s="214"/>
      <c r="N66" s="711"/>
      <c r="O66" s="711"/>
      <c r="P66" s="711"/>
      <c r="Q66" s="711"/>
      <c r="R66" s="711"/>
      <c r="S66" s="711"/>
      <c r="T66" s="107"/>
    </row>
    <row r="67" spans="1:20" ht="33" customHeight="1" x14ac:dyDescent="0.25">
      <c r="A67" s="276"/>
      <c r="B67" s="128"/>
      <c r="C67" s="700" t="s">
        <v>910</v>
      </c>
      <c r="D67" s="700"/>
      <c r="E67" s="700"/>
      <c r="F67" s="700"/>
      <c r="G67" s="700"/>
      <c r="H67" s="700"/>
      <c r="I67" s="700"/>
      <c r="J67" s="700"/>
      <c r="K67" s="700"/>
      <c r="L67" s="227">
        <v>3</v>
      </c>
      <c r="M67" s="214"/>
      <c r="N67" s="711"/>
      <c r="O67" s="711"/>
      <c r="P67" s="711"/>
      <c r="Q67" s="711"/>
      <c r="R67" s="711"/>
      <c r="S67" s="711"/>
      <c r="T67" s="107"/>
    </row>
    <row r="68" spans="1:20" ht="44.45" customHeight="1" x14ac:dyDescent="0.25">
      <c r="A68" s="759" t="s">
        <v>799</v>
      </c>
      <c r="B68" s="760"/>
      <c r="C68" s="643" t="s">
        <v>1206</v>
      </c>
      <c r="D68" s="643"/>
      <c r="E68" s="643"/>
      <c r="F68" s="643"/>
      <c r="G68" s="643"/>
      <c r="H68" s="643"/>
      <c r="I68" s="643"/>
      <c r="J68" s="643"/>
      <c r="K68" s="643"/>
      <c r="L68" s="714" t="s">
        <v>1124</v>
      </c>
      <c r="M68" s="1007"/>
      <c r="N68" s="1007"/>
      <c r="O68" s="1007"/>
      <c r="P68" s="1007"/>
      <c r="Q68" s="1007"/>
      <c r="R68" s="1007"/>
      <c r="S68" s="1008"/>
      <c r="T68" s="107"/>
    </row>
    <row r="69" spans="1:20" ht="30" customHeight="1" x14ac:dyDescent="0.25">
      <c r="A69" s="276"/>
      <c r="B69" s="128"/>
      <c r="C69" s="700" t="s">
        <v>1337</v>
      </c>
      <c r="D69" s="700"/>
      <c r="E69" s="700"/>
      <c r="F69" s="700"/>
      <c r="G69" s="700"/>
      <c r="H69" s="700"/>
      <c r="I69" s="700"/>
      <c r="J69" s="700"/>
      <c r="K69" s="700"/>
      <c r="L69" s="227">
        <v>0.5</v>
      </c>
      <c r="M69" s="214"/>
      <c r="N69" s="740"/>
      <c r="O69" s="741"/>
      <c r="P69" s="741"/>
      <c r="Q69" s="741"/>
      <c r="R69" s="741"/>
      <c r="S69" s="742"/>
      <c r="T69" s="107"/>
    </row>
    <row r="70" spans="1:20" ht="15.6" customHeight="1" x14ac:dyDescent="0.25">
      <c r="A70" s="276"/>
      <c r="B70" s="128"/>
      <c r="C70" s="700" t="s">
        <v>1226</v>
      </c>
      <c r="D70" s="700"/>
      <c r="E70" s="700"/>
      <c r="F70" s="700"/>
      <c r="G70" s="700"/>
      <c r="H70" s="700"/>
      <c r="I70" s="700"/>
      <c r="J70" s="700"/>
      <c r="K70" s="700"/>
      <c r="L70" s="227">
        <v>0.5</v>
      </c>
      <c r="M70" s="214"/>
      <c r="N70" s="751"/>
      <c r="O70" s="752"/>
      <c r="P70" s="752"/>
      <c r="Q70" s="752"/>
      <c r="R70" s="752"/>
      <c r="S70" s="753"/>
      <c r="T70" s="107"/>
    </row>
    <row r="71" spans="1:20" ht="16.149999999999999" customHeight="1" x14ac:dyDescent="0.25">
      <c r="A71" s="276"/>
      <c r="B71" s="128"/>
      <c r="C71" s="700" t="s">
        <v>1227</v>
      </c>
      <c r="D71" s="700"/>
      <c r="E71" s="700"/>
      <c r="F71" s="700"/>
      <c r="G71" s="700"/>
      <c r="H71" s="700"/>
      <c r="I71" s="700"/>
      <c r="J71" s="700"/>
      <c r="K71" s="700"/>
      <c r="L71" s="227">
        <v>0.5</v>
      </c>
      <c r="M71" s="214"/>
      <c r="N71" s="751"/>
      <c r="O71" s="752"/>
      <c r="P71" s="752"/>
      <c r="Q71" s="752"/>
      <c r="R71" s="752"/>
      <c r="S71" s="753"/>
      <c r="T71" s="107"/>
    </row>
    <row r="72" spans="1:20" ht="16.899999999999999" customHeight="1" x14ac:dyDescent="0.25">
      <c r="A72" s="276"/>
      <c r="B72" s="128"/>
      <c r="C72" s="700" t="s">
        <v>947</v>
      </c>
      <c r="D72" s="700"/>
      <c r="E72" s="700"/>
      <c r="F72" s="700"/>
      <c r="G72" s="700"/>
      <c r="H72" s="700"/>
      <c r="I72" s="700"/>
      <c r="J72" s="700"/>
      <c r="K72" s="700"/>
      <c r="L72" s="581">
        <v>0.5</v>
      </c>
      <c r="M72" s="631"/>
      <c r="N72" s="751"/>
      <c r="O72" s="752"/>
      <c r="P72" s="752"/>
      <c r="Q72" s="752"/>
      <c r="R72" s="752"/>
      <c r="S72" s="753"/>
      <c r="T72" s="107"/>
    </row>
    <row r="73" spans="1:20" ht="12.6" customHeight="1" x14ac:dyDescent="0.25">
      <c r="A73" s="276"/>
      <c r="B73" s="128"/>
      <c r="C73" s="700"/>
      <c r="D73" s="700"/>
      <c r="E73" s="700"/>
      <c r="F73" s="700"/>
      <c r="G73" s="700"/>
      <c r="H73" s="700"/>
      <c r="I73" s="700"/>
      <c r="J73" s="700"/>
      <c r="K73" s="700"/>
      <c r="L73" s="582"/>
      <c r="M73" s="633"/>
      <c r="N73" s="751"/>
      <c r="O73" s="752"/>
      <c r="P73" s="752"/>
      <c r="Q73" s="752"/>
      <c r="R73" s="752"/>
      <c r="S73" s="753"/>
      <c r="T73" s="107"/>
    </row>
    <row r="74" spans="1:20" ht="16.899999999999999" customHeight="1" x14ac:dyDescent="0.25">
      <c r="A74" s="276"/>
      <c r="B74" s="128"/>
      <c r="C74" s="761" t="s">
        <v>1106</v>
      </c>
      <c r="D74" s="695"/>
      <c r="E74" s="695"/>
      <c r="F74" s="695"/>
      <c r="G74" s="695"/>
      <c r="H74" s="695"/>
      <c r="I74" s="695"/>
      <c r="J74" s="695"/>
      <c r="K74" s="696"/>
      <c r="L74" s="227">
        <v>0.5</v>
      </c>
      <c r="M74" s="214"/>
      <c r="N74" s="751"/>
      <c r="O74" s="752"/>
      <c r="P74" s="752"/>
      <c r="Q74" s="752"/>
      <c r="R74" s="752"/>
      <c r="S74" s="753"/>
      <c r="T74" s="107"/>
    </row>
    <row r="75" spans="1:20" ht="16.899999999999999" customHeight="1" x14ac:dyDescent="0.25">
      <c r="A75" s="276"/>
      <c r="B75" s="128"/>
      <c r="C75" s="761" t="s">
        <v>1107</v>
      </c>
      <c r="D75" s="695"/>
      <c r="E75" s="695"/>
      <c r="F75" s="695"/>
      <c r="G75" s="695"/>
      <c r="H75" s="695"/>
      <c r="I75" s="695"/>
      <c r="J75" s="695"/>
      <c r="K75" s="696"/>
      <c r="L75" s="227">
        <v>0.5</v>
      </c>
      <c r="M75" s="214"/>
      <c r="N75" s="754"/>
      <c r="O75" s="755"/>
      <c r="P75" s="755"/>
      <c r="Q75" s="755"/>
      <c r="R75" s="755"/>
      <c r="S75" s="756"/>
      <c r="T75" s="107"/>
    </row>
    <row r="76" spans="1:20" ht="33.4" customHeight="1" x14ac:dyDescent="0.25">
      <c r="A76" s="1009" t="s">
        <v>803</v>
      </c>
      <c r="B76" s="452"/>
      <c r="C76" s="761" t="s">
        <v>835</v>
      </c>
      <c r="D76" s="695"/>
      <c r="E76" s="695"/>
      <c r="F76" s="695"/>
      <c r="G76" s="695"/>
      <c r="H76" s="696"/>
      <c r="I76" s="701"/>
      <c r="J76" s="698"/>
      <c r="K76" s="699"/>
      <c r="L76" s="227" t="s">
        <v>106</v>
      </c>
      <c r="M76" s="227" t="str">
        <f>IF(I76="In Compliance","In Compliance",IF(I76="Not Applicable","Not Applicable",IF(I76="Not Met","Not Met",IF(I76="","Enter response in cell to left"))))</f>
        <v>Enter response in cell to left</v>
      </c>
      <c r="N76" s="711"/>
      <c r="O76" s="711"/>
      <c r="P76" s="711"/>
      <c r="Q76" s="711"/>
      <c r="R76" s="711"/>
      <c r="S76" s="711"/>
      <c r="T76" s="107"/>
    </row>
    <row r="77" spans="1:20" x14ac:dyDescent="0.25">
      <c r="A77" s="1015" t="s">
        <v>804</v>
      </c>
      <c r="B77" s="1016"/>
      <c r="C77" s="1016"/>
      <c r="D77" s="1016"/>
      <c r="E77" s="1016"/>
      <c r="F77" s="1016"/>
      <c r="G77" s="1016"/>
      <c r="H77" s="1016"/>
      <c r="I77" s="1016"/>
      <c r="J77" s="1016"/>
      <c r="K77" s="1016"/>
      <c r="L77" s="1016"/>
      <c r="M77" s="1016"/>
      <c r="N77" s="1016"/>
      <c r="O77" s="1016"/>
      <c r="P77" s="1016"/>
      <c r="Q77" s="1016"/>
      <c r="R77" s="1016"/>
      <c r="S77" s="1017"/>
      <c r="T77" s="107"/>
    </row>
    <row r="78" spans="1:20" ht="75.599999999999994" customHeight="1" x14ac:dyDescent="0.25">
      <c r="A78" s="1009" t="s">
        <v>113</v>
      </c>
      <c r="B78" s="452"/>
      <c r="C78" s="1012" t="s">
        <v>1338</v>
      </c>
      <c r="D78" s="1013"/>
      <c r="E78" s="1013"/>
      <c r="F78" s="1013"/>
      <c r="G78" s="1013"/>
      <c r="H78" s="1013"/>
      <c r="I78" s="1013"/>
      <c r="J78" s="1013"/>
      <c r="K78" s="1014"/>
      <c r="L78" s="227" t="s">
        <v>1187</v>
      </c>
      <c r="M78" s="214"/>
      <c r="N78" s="609"/>
      <c r="O78" s="609"/>
      <c r="P78" s="609"/>
      <c r="Q78" s="609"/>
      <c r="R78" s="609"/>
      <c r="S78" s="609"/>
      <c r="T78" s="107"/>
    </row>
    <row r="79" spans="1:20" x14ac:dyDescent="0.25">
      <c r="A79" s="991" t="s">
        <v>805</v>
      </c>
      <c r="B79" s="992"/>
      <c r="C79" s="992"/>
      <c r="D79" s="992"/>
      <c r="E79" s="992"/>
      <c r="F79" s="992"/>
      <c r="G79" s="992"/>
      <c r="H79" s="992"/>
      <c r="I79" s="992"/>
      <c r="J79" s="992"/>
      <c r="K79" s="992"/>
      <c r="L79" s="992"/>
      <c r="M79" s="992"/>
      <c r="N79" s="992"/>
      <c r="O79" s="992"/>
      <c r="P79" s="992"/>
      <c r="Q79" s="992"/>
      <c r="R79" s="992"/>
      <c r="S79" s="993"/>
      <c r="T79" s="107"/>
    </row>
    <row r="80" spans="1:20" ht="58.9" customHeight="1" x14ac:dyDescent="0.25">
      <c r="A80" s="1010" t="s">
        <v>117</v>
      </c>
      <c r="B80" s="452"/>
      <c r="C80" s="761" t="s">
        <v>1339</v>
      </c>
      <c r="D80" s="695"/>
      <c r="E80" s="695"/>
      <c r="F80" s="695"/>
      <c r="G80" s="695"/>
      <c r="H80" s="695"/>
      <c r="I80" s="701"/>
      <c r="J80" s="698"/>
      <c r="K80" s="699"/>
      <c r="L80" s="118" t="s">
        <v>106</v>
      </c>
      <c r="M80" s="227" t="str">
        <f>IF(I80="In Compliance","In Compliance",IF(I80="Not Met","Not Met",IF(I80="","Enter response in cell to left")))</f>
        <v>Enter response in cell to left</v>
      </c>
      <c r="N80" s="994" t="s">
        <v>876</v>
      </c>
      <c r="O80" s="460"/>
      <c r="P80" s="460"/>
      <c r="Q80" s="460"/>
      <c r="R80" s="460"/>
      <c r="S80" s="461"/>
      <c r="T80" s="107"/>
    </row>
    <row r="81" spans="1:20" ht="75.599999999999994" customHeight="1" x14ac:dyDescent="0.25">
      <c r="A81" s="1021" t="s">
        <v>119</v>
      </c>
      <c r="B81" s="1022"/>
      <c r="C81" s="1024" t="s">
        <v>1370</v>
      </c>
      <c r="D81" s="1024"/>
      <c r="E81" s="1024"/>
      <c r="F81" s="1024"/>
      <c r="G81" s="1024"/>
      <c r="H81" s="1024"/>
      <c r="I81" s="1024"/>
      <c r="J81" s="1024"/>
      <c r="K81" s="1024"/>
      <c r="L81" s="1262">
        <v>1</v>
      </c>
      <c r="M81" s="1264" t="str">
        <f>IF(OR(CZ="",RaisedHeelDepth=""),"Must enter CZ on '3 Project Information' and Raised Heel Truss Depth in Practice 1.5.2",IF(AND(CZ=3,OR(RaisedHeelDepth="12 to 14.9 Inches",RaisedHeelDepth="15 Inches or Greater")),1,IF(AND(OR(CZ=4,CZ=5,CZ=6,CZ=7),RaisedHeelDepth="15 Inches or Greater"),1,0)))</f>
        <v>Must enter CZ on '3 Project Information' and Raised Heel Truss Depth in Practice 1.5.2</v>
      </c>
      <c r="N81" s="1028"/>
      <c r="O81" s="586"/>
      <c r="P81" s="586"/>
      <c r="Q81" s="586"/>
      <c r="R81" s="586"/>
      <c r="S81" s="587"/>
      <c r="T81" s="107"/>
    </row>
    <row r="82" spans="1:20" ht="30" customHeight="1" x14ac:dyDescent="0.25">
      <c r="A82" s="1023"/>
      <c r="B82" s="1022"/>
      <c r="C82" s="1029" t="s">
        <v>1371</v>
      </c>
      <c r="D82" s="1030"/>
      <c r="E82" s="1030"/>
      <c r="F82" s="1030"/>
      <c r="G82" s="1030"/>
      <c r="H82" s="1030"/>
      <c r="I82" s="1031"/>
      <c r="J82" s="1032"/>
      <c r="K82" s="1032"/>
      <c r="L82" s="1263"/>
      <c r="M82" s="582"/>
      <c r="N82" s="589"/>
      <c r="O82" s="589"/>
      <c r="P82" s="589"/>
      <c r="Q82" s="589"/>
      <c r="R82" s="589"/>
      <c r="S82" s="590"/>
      <c r="T82" s="107"/>
    </row>
    <row r="83" spans="1:20" ht="15" customHeight="1" x14ac:dyDescent="0.25">
      <c r="A83" s="991" t="s">
        <v>806</v>
      </c>
      <c r="B83" s="992"/>
      <c r="C83" s="992"/>
      <c r="D83" s="992"/>
      <c r="E83" s="992"/>
      <c r="F83" s="992"/>
      <c r="G83" s="992"/>
      <c r="H83" s="992"/>
      <c r="I83" s="992"/>
      <c r="J83" s="992"/>
      <c r="K83" s="992"/>
      <c r="L83" s="992"/>
      <c r="M83" s="992"/>
      <c r="N83" s="992"/>
      <c r="O83" s="992"/>
      <c r="P83" s="992"/>
      <c r="Q83" s="992"/>
      <c r="R83" s="992"/>
      <c r="S83" s="993"/>
      <c r="T83" s="107"/>
    </row>
    <row r="84" spans="1:20" ht="93.75" customHeight="1" x14ac:dyDescent="0.25">
      <c r="A84" s="1009" t="s">
        <v>811</v>
      </c>
      <c r="B84" s="452"/>
      <c r="C84" s="1018" t="s">
        <v>1189</v>
      </c>
      <c r="D84" s="1019"/>
      <c r="E84" s="1019"/>
      <c r="F84" s="1019"/>
      <c r="G84" s="1019"/>
      <c r="H84" s="1019"/>
      <c r="I84" s="1019"/>
      <c r="J84" s="1019"/>
      <c r="K84" s="1020"/>
      <c r="L84" s="227" t="s">
        <v>118</v>
      </c>
      <c r="M84" s="13"/>
      <c r="N84" s="597"/>
      <c r="O84" s="586"/>
      <c r="P84" s="586"/>
      <c r="Q84" s="586"/>
      <c r="R84" s="586"/>
      <c r="S84" s="587"/>
      <c r="T84" s="107"/>
    </row>
    <row r="85" spans="1:20" ht="18.399999999999999" customHeight="1" x14ac:dyDescent="0.25">
      <c r="A85" s="759" t="s">
        <v>812</v>
      </c>
      <c r="B85" s="760"/>
      <c r="C85" s="812" t="s">
        <v>120</v>
      </c>
      <c r="D85" s="813"/>
      <c r="E85" s="813"/>
      <c r="F85" s="813"/>
      <c r="G85" s="813"/>
      <c r="H85" s="813"/>
      <c r="I85" s="813"/>
      <c r="J85" s="813"/>
      <c r="K85" s="814"/>
      <c r="L85" s="581">
        <v>2</v>
      </c>
      <c r="M85" s="631"/>
      <c r="N85" s="1025" t="s">
        <v>970</v>
      </c>
      <c r="O85" s="1026"/>
      <c r="P85" s="1026"/>
      <c r="Q85" s="1026"/>
      <c r="R85" s="1026"/>
      <c r="S85" s="1027"/>
      <c r="T85" s="107"/>
    </row>
    <row r="86" spans="1:20" ht="33" customHeight="1" x14ac:dyDescent="0.25">
      <c r="A86" s="276"/>
      <c r="B86" s="128"/>
      <c r="C86" s="606" t="s">
        <v>121</v>
      </c>
      <c r="D86" s="607"/>
      <c r="E86" s="607"/>
      <c r="F86" s="607"/>
      <c r="G86" s="607"/>
      <c r="H86" s="607"/>
      <c r="I86" s="607"/>
      <c r="J86" s="607"/>
      <c r="K86" s="608"/>
      <c r="L86" s="669"/>
      <c r="M86" s="632"/>
      <c r="N86" s="754"/>
      <c r="O86" s="755"/>
      <c r="P86" s="755"/>
      <c r="Q86" s="755"/>
      <c r="R86" s="755"/>
      <c r="S86" s="756"/>
      <c r="T86" s="107"/>
    </row>
    <row r="87" spans="1:20" ht="30" customHeight="1" x14ac:dyDescent="0.25">
      <c r="A87" s="276"/>
      <c r="B87" s="128"/>
      <c r="C87" s="800" t="s">
        <v>122</v>
      </c>
      <c r="D87" s="801"/>
      <c r="E87" s="801"/>
      <c r="F87" s="801"/>
      <c r="G87" s="801"/>
      <c r="H87" s="801"/>
      <c r="I87" s="801"/>
      <c r="J87" s="801"/>
      <c r="K87" s="802"/>
      <c r="L87" s="669"/>
      <c r="M87" s="632"/>
      <c r="N87" s="597"/>
      <c r="O87" s="1028"/>
      <c r="P87" s="1028"/>
      <c r="Q87" s="1028"/>
      <c r="R87" s="1028"/>
      <c r="S87" s="1302"/>
      <c r="T87" s="107"/>
    </row>
    <row r="88" spans="1:20" ht="32.25" customHeight="1" x14ac:dyDescent="0.25">
      <c r="A88" s="276"/>
      <c r="B88" s="128"/>
      <c r="C88" s="564"/>
      <c r="D88" s="566" t="s">
        <v>1340</v>
      </c>
      <c r="E88" s="567"/>
      <c r="F88" s="567"/>
      <c r="G88" s="567"/>
      <c r="H88" s="568"/>
      <c r="I88" s="569"/>
      <c r="J88" s="570"/>
      <c r="K88" s="571"/>
      <c r="L88" s="669"/>
      <c r="M88" s="632"/>
      <c r="N88" s="995"/>
      <c r="O88" s="996"/>
      <c r="P88" s="996"/>
      <c r="Q88" s="996"/>
      <c r="R88" s="996"/>
      <c r="S88" s="997"/>
      <c r="T88" s="107"/>
    </row>
    <row r="89" spans="1:20" ht="17.25" customHeight="1" x14ac:dyDescent="0.25">
      <c r="A89" s="276"/>
      <c r="B89" s="128"/>
      <c r="C89" s="565"/>
      <c r="D89" s="110" t="s">
        <v>123</v>
      </c>
      <c r="E89" s="110" t="s">
        <v>124</v>
      </c>
      <c r="F89" s="110" t="s">
        <v>125</v>
      </c>
      <c r="G89" s="110" t="s">
        <v>126</v>
      </c>
      <c r="H89" s="110" t="s">
        <v>127</v>
      </c>
      <c r="I89" s="572"/>
      <c r="J89" s="573"/>
      <c r="K89" s="574"/>
      <c r="L89" s="669"/>
      <c r="M89" s="632"/>
      <c r="N89" s="995"/>
      <c r="O89" s="996"/>
      <c r="P89" s="996"/>
      <c r="Q89" s="996"/>
      <c r="R89" s="996"/>
      <c r="S89" s="997"/>
      <c r="T89" s="107"/>
    </row>
    <row r="90" spans="1:20" ht="35.25" customHeight="1" x14ac:dyDescent="0.25">
      <c r="A90" s="276"/>
      <c r="B90" s="128"/>
      <c r="C90" s="131" t="s">
        <v>128</v>
      </c>
      <c r="D90" s="130" t="s">
        <v>129</v>
      </c>
      <c r="E90" s="130" t="s">
        <v>129</v>
      </c>
      <c r="F90" s="130" t="s">
        <v>130</v>
      </c>
      <c r="G90" s="130" t="s">
        <v>131</v>
      </c>
      <c r="H90" s="130" t="s">
        <v>131</v>
      </c>
      <c r="I90" s="572"/>
      <c r="J90" s="573"/>
      <c r="K90" s="574"/>
      <c r="L90" s="669"/>
      <c r="M90" s="632"/>
      <c r="N90" s="995"/>
      <c r="O90" s="996"/>
      <c r="P90" s="996"/>
      <c r="Q90" s="996"/>
      <c r="R90" s="996"/>
      <c r="S90" s="997"/>
      <c r="T90" s="107"/>
    </row>
    <row r="91" spans="1:20" ht="35.25" customHeight="1" x14ac:dyDescent="0.25">
      <c r="A91" s="276"/>
      <c r="B91" s="128"/>
      <c r="C91" s="131" t="s">
        <v>132</v>
      </c>
      <c r="D91" s="130" t="s">
        <v>130</v>
      </c>
      <c r="E91" s="130" t="s">
        <v>130</v>
      </c>
      <c r="F91" s="130" t="s">
        <v>131</v>
      </c>
      <c r="G91" s="130" t="s">
        <v>131</v>
      </c>
      <c r="H91" s="130" t="s">
        <v>133</v>
      </c>
      <c r="I91" s="572"/>
      <c r="J91" s="573"/>
      <c r="K91" s="574"/>
      <c r="L91" s="669"/>
      <c r="M91" s="632"/>
      <c r="N91" s="995"/>
      <c r="O91" s="996"/>
      <c r="P91" s="996"/>
      <c r="Q91" s="996"/>
      <c r="R91" s="996"/>
      <c r="S91" s="997"/>
      <c r="T91" s="107"/>
    </row>
    <row r="92" spans="1:20" ht="35.25" customHeight="1" x14ac:dyDescent="0.25">
      <c r="A92" s="276"/>
      <c r="B92" s="128"/>
      <c r="C92" s="131" t="s">
        <v>134</v>
      </c>
      <c r="D92" s="130" t="s">
        <v>131</v>
      </c>
      <c r="E92" s="130" t="s">
        <v>133</v>
      </c>
      <c r="F92" s="130" t="s">
        <v>133</v>
      </c>
      <c r="G92" s="130" t="s">
        <v>135</v>
      </c>
      <c r="H92" s="130" t="s">
        <v>136</v>
      </c>
      <c r="I92" s="575"/>
      <c r="J92" s="576"/>
      <c r="K92" s="577"/>
      <c r="L92" s="669"/>
      <c r="M92" s="632"/>
      <c r="N92" s="995"/>
      <c r="O92" s="996"/>
      <c r="P92" s="996"/>
      <c r="Q92" s="996"/>
      <c r="R92" s="996"/>
      <c r="S92" s="997"/>
      <c r="T92" s="107"/>
    </row>
    <row r="93" spans="1:20" ht="17.45" customHeight="1" x14ac:dyDescent="0.25">
      <c r="A93" s="276"/>
      <c r="B93" s="128"/>
      <c r="C93" s="606" t="s">
        <v>137</v>
      </c>
      <c r="D93" s="607"/>
      <c r="E93" s="607"/>
      <c r="F93" s="607"/>
      <c r="G93" s="607"/>
      <c r="H93" s="607"/>
      <c r="I93" s="607"/>
      <c r="J93" s="607"/>
      <c r="K93" s="608"/>
      <c r="L93" s="669"/>
      <c r="M93" s="632"/>
      <c r="N93" s="995"/>
      <c r="O93" s="996"/>
      <c r="P93" s="996"/>
      <c r="Q93" s="996"/>
      <c r="R93" s="996"/>
      <c r="S93" s="997"/>
      <c r="T93" s="107"/>
    </row>
    <row r="94" spans="1:20" ht="19.5" customHeight="1" x14ac:dyDescent="0.25">
      <c r="A94" s="276"/>
      <c r="B94" s="128"/>
      <c r="C94" s="606" t="s">
        <v>828</v>
      </c>
      <c r="D94" s="607"/>
      <c r="E94" s="607"/>
      <c r="F94" s="607"/>
      <c r="G94" s="607"/>
      <c r="H94" s="607"/>
      <c r="I94" s="607"/>
      <c r="J94" s="607"/>
      <c r="K94" s="608"/>
      <c r="L94" s="669"/>
      <c r="M94" s="632"/>
      <c r="N94" s="998"/>
      <c r="O94" s="999"/>
      <c r="P94" s="999"/>
      <c r="Q94" s="999"/>
      <c r="R94" s="999"/>
      <c r="S94" s="1000"/>
      <c r="T94" s="107"/>
    </row>
    <row r="95" spans="1:20" ht="18" customHeight="1" x14ac:dyDescent="0.25">
      <c r="A95" s="759" t="s">
        <v>827</v>
      </c>
      <c r="B95" s="760"/>
      <c r="C95" s="812" t="s">
        <v>1317</v>
      </c>
      <c r="D95" s="813"/>
      <c r="E95" s="813"/>
      <c r="F95" s="813"/>
      <c r="G95" s="813"/>
      <c r="H95" s="813"/>
      <c r="I95" s="813"/>
      <c r="J95" s="813"/>
      <c r="K95" s="814"/>
      <c r="L95" s="581">
        <v>1</v>
      </c>
      <c r="M95" s="631"/>
      <c r="N95" s="591" t="s">
        <v>971</v>
      </c>
      <c r="O95" s="592"/>
      <c r="P95" s="592"/>
      <c r="Q95" s="592"/>
      <c r="R95" s="592"/>
      <c r="S95" s="593"/>
      <c r="T95" s="107"/>
    </row>
    <row r="96" spans="1:20" ht="32.450000000000003" customHeight="1" x14ac:dyDescent="0.25">
      <c r="A96" s="276"/>
      <c r="B96" s="128"/>
      <c r="C96" s="800" t="s">
        <v>1318</v>
      </c>
      <c r="D96" s="801"/>
      <c r="E96" s="801"/>
      <c r="F96" s="801"/>
      <c r="G96" s="801"/>
      <c r="H96" s="801"/>
      <c r="I96" s="801"/>
      <c r="J96" s="801"/>
      <c r="K96" s="802"/>
      <c r="L96" s="669"/>
      <c r="M96" s="1266"/>
      <c r="N96" s="594"/>
      <c r="O96" s="595"/>
      <c r="P96" s="595"/>
      <c r="Q96" s="595"/>
      <c r="R96" s="595"/>
      <c r="S96" s="596"/>
      <c r="T96" s="107"/>
    </row>
    <row r="97" spans="1:20" ht="33.75" customHeight="1" x14ac:dyDescent="0.25">
      <c r="A97" s="276"/>
      <c r="B97" s="128"/>
      <c r="C97" s="564"/>
      <c r="D97" s="566" t="s">
        <v>1340</v>
      </c>
      <c r="E97" s="567"/>
      <c r="F97" s="567"/>
      <c r="G97" s="567"/>
      <c r="H97" s="568"/>
      <c r="I97" s="569"/>
      <c r="J97" s="570"/>
      <c r="K97" s="571"/>
      <c r="L97" s="669"/>
      <c r="M97" s="1266"/>
      <c r="N97" s="597"/>
      <c r="O97" s="598"/>
      <c r="P97" s="598"/>
      <c r="Q97" s="598"/>
      <c r="R97" s="598"/>
      <c r="S97" s="599"/>
      <c r="T97" s="107"/>
    </row>
    <row r="98" spans="1:20" ht="33.75" customHeight="1" x14ac:dyDescent="0.25">
      <c r="A98" s="276"/>
      <c r="B98" s="128"/>
      <c r="C98" s="565"/>
      <c r="D98" s="110" t="s">
        <v>123</v>
      </c>
      <c r="E98" s="110" t="s">
        <v>124</v>
      </c>
      <c r="F98" s="110" t="s">
        <v>125</v>
      </c>
      <c r="G98" s="110" t="s">
        <v>126</v>
      </c>
      <c r="H98" s="110" t="s">
        <v>127</v>
      </c>
      <c r="I98" s="572"/>
      <c r="J98" s="573"/>
      <c r="K98" s="574"/>
      <c r="L98" s="669"/>
      <c r="M98" s="1266"/>
      <c r="N98" s="600"/>
      <c r="O98" s="601"/>
      <c r="P98" s="601"/>
      <c r="Q98" s="601"/>
      <c r="R98" s="601"/>
      <c r="S98" s="602"/>
      <c r="T98" s="107"/>
    </row>
    <row r="99" spans="1:20" ht="33.75" customHeight="1" x14ac:dyDescent="0.25">
      <c r="A99" s="276"/>
      <c r="B99" s="128"/>
      <c r="C99" s="131" t="s">
        <v>128</v>
      </c>
      <c r="D99" s="132" t="s">
        <v>129</v>
      </c>
      <c r="E99" s="132" t="s">
        <v>129</v>
      </c>
      <c r="F99" s="132" t="s">
        <v>130</v>
      </c>
      <c r="G99" s="132" t="s">
        <v>131</v>
      </c>
      <c r="H99" s="132" t="s">
        <v>131</v>
      </c>
      <c r="I99" s="572"/>
      <c r="J99" s="573"/>
      <c r="K99" s="574"/>
      <c r="L99" s="669"/>
      <c r="M99" s="1266"/>
      <c r="N99" s="600"/>
      <c r="O99" s="601"/>
      <c r="P99" s="601"/>
      <c r="Q99" s="601"/>
      <c r="R99" s="601"/>
      <c r="S99" s="602"/>
      <c r="T99" s="107"/>
    </row>
    <row r="100" spans="1:20" ht="33.75" customHeight="1" x14ac:dyDescent="0.25">
      <c r="A100" s="276"/>
      <c r="B100" s="128"/>
      <c r="C100" s="131" t="s">
        <v>132</v>
      </c>
      <c r="D100" s="132" t="s">
        <v>130</v>
      </c>
      <c r="E100" s="132" t="s">
        <v>130</v>
      </c>
      <c r="F100" s="132" t="s">
        <v>131</v>
      </c>
      <c r="G100" s="132" t="s">
        <v>131</v>
      </c>
      <c r="H100" s="132" t="s">
        <v>133</v>
      </c>
      <c r="I100" s="572"/>
      <c r="J100" s="573"/>
      <c r="K100" s="574"/>
      <c r="L100" s="669"/>
      <c r="M100" s="1266"/>
      <c r="N100" s="600"/>
      <c r="O100" s="601"/>
      <c r="P100" s="601"/>
      <c r="Q100" s="601"/>
      <c r="R100" s="601"/>
      <c r="S100" s="602"/>
      <c r="T100" s="107"/>
    </row>
    <row r="101" spans="1:20" ht="33.75" customHeight="1" x14ac:dyDescent="0.25">
      <c r="A101" s="276"/>
      <c r="B101" s="128"/>
      <c r="C101" s="131" t="s">
        <v>134</v>
      </c>
      <c r="D101" s="132" t="s">
        <v>131</v>
      </c>
      <c r="E101" s="132" t="s">
        <v>133</v>
      </c>
      <c r="F101" s="132" t="s">
        <v>133</v>
      </c>
      <c r="G101" s="132" t="s">
        <v>135</v>
      </c>
      <c r="H101" s="132" t="s">
        <v>136</v>
      </c>
      <c r="I101" s="575"/>
      <c r="J101" s="576"/>
      <c r="K101" s="577"/>
      <c r="L101" s="669"/>
      <c r="M101" s="1266"/>
      <c r="N101" s="600"/>
      <c r="O101" s="601"/>
      <c r="P101" s="601"/>
      <c r="Q101" s="601"/>
      <c r="R101" s="601"/>
      <c r="S101" s="602"/>
      <c r="T101" s="107"/>
    </row>
    <row r="102" spans="1:20" ht="33.75" customHeight="1" x14ac:dyDescent="0.25">
      <c r="A102" s="276"/>
      <c r="B102" s="128"/>
      <c r="C102" s="800" t="s">
        <v>1319</v>
      </c>
      <c r="D102" s="801"/>
      <c r="E102" s="801"/>
      <c r="F102" s="801"/>
      <c r="G102" s="801"/>
      <c r="H102" s="801"/>
      <c r="I102" s="801"/>
      <c r="J102" s="801"/>
      <c r="K102" s="802"/>
      <c r="L102" s="669"/>
      <c r="M102" s="584"/>
      <c r="N102" s="603"/>
      <c r="O102" s="604"/>
      <c r="P102" s="604"/>
      <c r="Q102" s="604"/>
      <c r="R102" s="604"/>
      <c r="S102" s="605"/>
      <c r="T102" s="107"/>
    </row>
    <row r="103" spans="1:20" ht="15" customHeight="1" x14ac:dyDescent="0.25">
      <c r="A103" s="1009" t="s">
        <v>1052</v>
      </c>
      <c r="B103" s="452"/>
      <c r="C103" s="1296" t="s">
        <v>1341</v>
      </c>
      <c r="D103" s="695"/>
      <c r="E103" s="695"/>
      <c r="F103" s="695"/>
      <c r="G103" s="695"/>
      <c r="H103" s="695"/>
      <c r="I103" s="695"/>
      <c r="J103" s="695"/>
      <c r="K103" s="696"/>
      <c r="L103" s="130"/>
      <c r="M103" s="14"/>
      <c r="N103" s="609"/>
      <c r="O103" s="609"/>
      <c r="P103" s="609"/>
      <c r="Q103" s="609"/>
      <c r="R103" s="609"/>
      <c r="S103" s="609"/>
      <c r="T103" s="107"/>
    </row>
    <row r="104" spans="1:20" ht="10.15" customHeight="1" x14ac:dyDescent="0.25">
      <c r="A104" s="1297"/>
      <c r="B104" s="1298"/>
      <c r="C104" s="1298"/>
      <c r="D104" s="1298"/>
      <c r="E104" s="1298"/>
      <c r="F104" s="1298"/>
      <c r="G104" s="1298"/>
      <c r="H104" s="1298"/>
      <c r="I104" s="1298"/>
      <c r="J104" s="1298"/>
      <c r="K104" s="1298"/>
      <c r="L104" s="1298"/>
      <c r="M104" s="1298"/>
      <c r="N104" s="1298"/>
      <c r="O104" s="1298"/>
      <c r="P104" s="1298"/>
      <c r="Q104" s="1298"/>
      <c r="R104" s="1298"/>
      <c r="S104" s="1299"/>
    </row>
    <row r="105" spans="1:20" ht="21" customHeight="1" x14ac:dyDescent="0.25">
      <c r="A105" s="1300" t="s">
        <v>851</v>
      </c>
      <c r="B105" s="1301"/>
      <c r="C105" s="1301"/>
      <c r="D105" s="1301"/>
      <c r="E105" s="1301"/>
      <c r="F105" s="1301"/>
      <c r="G105" s="1301"/>
      <c r="H105" s="1301"/>
      <c r="I105" s="1301"/>
      <c r="J105" s="1301"/>
      <c r="K105" s="1301"/>
      <c r="L105" s="133"/>
      <c r="M105" s="133"/>
      <c r="N105" s="208"/>
      <c r="O105" s="208"/>
      <c r="P105" s="208"/>
      <c r="Q105" s="208"/>
      <c r="R105" s="208"/>
      <c r="S105" s="209"/>
    </row>
    <row r="106" spans="1:20" ht="30" customHeight="1" x14ac:dyDescent="0.25">
      <c r="A106" s="276"/>
      <c r="B106" s="120"/>
      <c r="C106" s="702" t="s">
        <v>824</v>
      </c>
      <c r="D106" s="702"/>
      <c r="E106" s="702"/>
      <c r="F106" s="702"/>
      <c r="G106" s="702"/>
      <c r="H106" s="702"/>
      <c r="I106" s="702"/>
      <c r="J106" s="702"/>
      <c r="K106" s="702"/>
      <c r="L106" s="703" t="str">
        <f>IF(AND(O109="Emerald",O110="Yes",O111="Yes",O112="Yes",O113="Emerald",O114="Yes"),"Emerald",IF(AND(OR(O109="Emerald",O109="Gold"),O110="Yes",O111="Yes",O112="Yes",O113="Gold",O114="Yes"),"Gold","CANNOT CERTIFY"))</f>
        <v>CANNOT CERTIFY</v>
      </c>
      <c r="M106" s="704"/>
      <c r="N106" s="1303" t="str">
        <f>IF(AND(L56="Yes",OR(L106="Gold",L106="Emerald")),"Energy efficiencies practices were satisfied using ENERGY STAR, ENERGY STAR NextGen or Zero Energy Ready Home program.","")</f>
        <v/>
      </c>
      <c r="O106" s="1304"/>
      <c r="P106" s="1304"/>
      <c r="Q106" s="1304"/>
      <c r="R106" s="220"/>
      <c r="S106" s="221"/>
    </row>
    <row r="107" spans="1:20" ht="10.15" customHeight="1" x14ac:dyDescent="0.25">
      <c r="A107" s="705"/>
      <c r="B107" s="706"/>
      <c r="C107" s="706"/>
      <c r="D107" s="706"/>
      <c r="E107" s="706"/>
      <c r="F107" s="706"/>
      <c r="G107" s="706"/>
      <c r="H107" s="706"/>
      <c r="I107" s="706"/>
      <c r="J107" s="706"/>
      <c r="K107" s="706"/>
      <c r="L107" s="706"/>
      <c r="M107" s="706"/>
      <c r="N107" s="706"/>
      <c r="O107" s="706"/>
      <c r="P107" s="706"/>
      <c r="Q107" s="706"/>
      <c r="R107" s="706"/>
      <c r="S107" s="707"/>
    </row>
    <row r="108" spans="1:20" ht="18" customHeight="1" x14ac:dyDescent="0.25">
      <c r="A108" s="276"/>
      <c r="B108" s="120"/>
      <c r="C108" s="1055" t="s">
        <v>840</v>
      </c>
      <c r="D108" s="1055"/>
      <c r="E108" s="1055"/>
      <c r="F108" s="1055"/>
      <c r="G108" s="1055"/>
      <c r="H108" s="1055"/>
      <c r="I108" s="1055"/>
      <c r="J108" s="1055" t="s">
        <v>825</v>
      </c>
      <c r="K108" s="1055"/>
      <c r="L108" s="206">
        <v>54</v>
      </c>
      <c r="M108" s="206">
        <f>IF(L56="Yes",SUM(M19,M36,M38,M42,M44,M46,M57),IF(OR(L56="",L56="No"),SUM(M19,M36,M38,M42,M44,M46,M65,M66,M69,M70,M71,M72,M74,M75,M78,M81,M84,M85,M95,M103),"???"))</f>
        <v>0</v>
      </c>
      <c r="N108" s="1057" t="s">
        <v>826</v>
      </c>
      <c r="O108" s="1058"/>
      <c r="P108" s="1058"/>
      <c r="Q108" s="1305"/>
      <c r="R108" s="806"/>
      <c r="S108" s="807"/>
    </row>
    <row r="109" spans="1:20" ht="36" customHeight="1" x14ac:dyDescent="0.25">
      <c r="A109" s="276"/>
      <c r="B109" s="120"/>
      <c r="C109" s="763" t="s">
        <v>937</v>
      </c>
      <c r="D109" s="764"/>
      <c r="E109" s="764"/>
      <c r="F109" s="764"/>
      <c r="G109" s="764"/>
      <c r="H109" s="764"/>
      <c r="I109" s="764"/>
      <c r="J109" s="764"/>
      <c r="K109" s="764"/>
      <c r="L109" s="764"/>
      <c r="M109" s="764"/>
      <c r="N109" s="765"/>
      <c r="O109" s="772" t="str">
        <f>L15</f>
        <v/>
      </c>
      <c r="P109" s="773"/>
      <c r="Q109" s="774"/>
      <c r="R109" s="806"/>
      <c r="S109" s="807"/>
    </row>
    <row r="110" spans="1:20" ht="36" customHeight="1" x14ac:dyDescent="0.25">
      <c r="A110" s="276"/>
      <c r="B110" s="120"/>
      <c r="C110" s="763" t="s">
        <v>938</v>
      </c>
      <c r="D110" s="764"/>
      <c r="E110" s="764"/>
      <c r="F110" s="764"/>
      <c r="G110" s="764"/>
      <c r="H110" s="764"/>
      <c r="I110" s="764"/>
      <c r="J110" s="764"/>
      <c r="K110" s="764"/>
      <c r="L110" s="764"/>
      <c r="M110" s="764"/>
      <c r="N110" s="765"/>
      <c r="O110" s="772" t="str">
        <f>IF(M24="In Compliance","Yes","No")</f>
        <v>No</v>
      </c>
      <c r="P110" s="773"/>
      <c r="Q110" s="774"/>
      <c r="R110" s="806"/>
      <c r="S110" s="807"/>
    </row>
    <row r="111" spans="1:20" ht="18" customHeight="1" x14ac:dyDescent="0.25">
      <c r="A111" s="276"/>
      <c r="B111" s="120"/>
      <c r="C111" s="763" t="s">
        <v>1190</v>
      </c>
      <c r="D111" s="764"/>
      <c r="E111" s="764"/>
      <c r="F111" s="764"/>
      <c r="G111" s="764"/>
      <c r="H111" s="764"/>
      <c r="I111" s="764"/>
      <c r="J111" s="764"/>
      <c r="K111" s="764"/>
      <c r="L111" s="764"/>
      <c r="M111" s="764"/>
      <c r="N111" s="765"/>
      <c r="O111" s="772" t="str">
        <f>IF(ISNUMBER(M38),"Yes","No")</f>
        <v>No</v>
      </c>
      <c r="P111" s="773"/>
      <c r="Q111" s="774"/>
      <c r="R111" s="281"/>
      <c r="S111" s="282"/>
    </row>
    <row r="112" spans="1:20" ht="18" customHeight="1" x14ac:dyDescent="0.25">
      <c r="A112" s="276"/>
      <c r="B112" s="120"/>
      <c r="C112" s="763" t="s">
        <v>1191</v>
      </c>
      <c r="D112" s="764"/>
      <c r="E112" s="764"/>
      <c r="F112" s="764"/>
      <c r="G112" s="764"/>
      <c r="H112" s="764"/>
      <c r="I112" s="764"/>
      <c r="J112" s="764"/>
      <c r="K112" s="764"/>
      <c r="L112" s="764"/>
      <c r="M112" s="764"/>
      <c r="N112" s="765"/>
      <c r="O112" s="772" t="str">
        <f>IF(M29="NOT APPLICABLE - No ducted HVAC system(s).  Proceed to practice 1.2.4.","Yes",IF(M29="DUCT LEAKAGE TESTS PASSED","Yes","No"))</f>
        <v>No</v>
      </c>
      <c r="P112" s="773"/>
      <c r="Q112" s="774"/>
      <c r="R112" s="281"/>
      <c r="S112" s="282"/>
    </row>
    <row r="113" spans="1:35" ht="39" customHeight="1" x14ac:dyDescent="0.25">
      <c r="A113" s="276"/>
      <c r="B113" s="120"/>
      <c r="C113" s="763" t="s">
        <v>1294</v>
      </c>
      <c r="D113" s="764"/>
      <c r="E113" s="764"/>
      <c r="F113" s="764"/>
      <c r="G113" s="764"/>
      <c r="H113" s="764"/>
      <c r="I113" s="764"/>
      <c r="J113" s="764"/>
      <c r="K113" s="764"/>
      <c r="L113" s="764"/>
      <c r="M113" s="764"/>
      <c r="N113" s="765"/>
      <c r="O113" s="772" t="str">
        <f>IF(AND(O109="Emerald",M108&gt;=15),"Emerald",IF(AND(OR(O109="Gold",O109="Emerald"),M108&gt;=10),"Gold","Cannot Certify"))</f>
        <v>Cannot Certify</v>
      </c>
      <c r="P113" s="773"/>
      <c r="Q113" s="774"/>
      <c r="R113" s="281"/>
      <c r="S113" s="282"/>
    </row>
    <row r="114" spans="1:35" ht="18" customHeight="1" x14ac:dyDescent="0.25">
      <c r="A114" s="276"/>
      <c r="B114" s="120"/>
      <c r="C114" s="763" t="s">
        <v>1192</v>
      </c>
      <c r="D114" s="764"/>
      <c r="E114" s="764"/>
      <c r="F114" s="764"/>
      <c r="G114" s="764"/>
      <c r="H114" s="764"/>
      <c r="I114" s="764"/>
      <c r="J114" s="764"/>
      <c r="K114" s="764"/>
      <c r="L114" s="764"/>
      <c r="M114" s="764"/>
      <c r="N114" s="765"/>
      <c r="O114" s="772" t="str">
        <f>IF(AND(L56="Yes",M24="In Compliance",M26="In Compliance",OR(M29="NOT APPLICABLE - No ducted HVAC system(s).  Proceed to practice 1.2.4.",M29="DUCT LEAKAGE TESTS PASSED"),M42=1,M44=3),"Yes",IF(AND(OR(L56="",L56="No"),M24="In Compliance",M26="In Compliance",OR(M29="NOT APPLICABLE - No ducted HVAC system(s).  Proceed to practice 1.2.4.",M29="DUCT LEAKAGE TESTS PASSED"),M42=1,M44=3,M59="In Compliance",M60="In Compliance",M62="In Compliance",M63="In Compliance",M64="In Compliance",OR(M76="In Compliance",M76="Not Applicable"),M80="In Compliance"),"Yes","No"))</f>
        <v>No</v>
      </c>
      <c r="P114" s="773"/>
      <c r="Q114" s="774"/>
      <c r="R114" s="281"/>
      <c r="S114" s="282"/>
      <c r="U114" s="1033"/>
      <c r="V114" s="1034"/>
      <c r="W114" s="1034"/>
      <c r="X114" s="1034"/>
      <c r="Y114" s="1034"/>
      <c r="Z114" s="1034"/>
      <c r="AA114" s="1034"/>
      <c r="AB114" s="1034"/>
      <c r="AC114" s="1034"/>
      <c r="AD114" s="1034"/>
      <c r="AE114" s="1034"/>
      <c r="AF114" s="1034"/>
      <c r="AG114" s="1034"/>
      <c r="AH114" s="1034"/>
      <c r="AI114" s="1035"/>
    </row>
    <row r="115" spans="1:35" ht="4.9000000000000004" customHeight="1" x14ac:dyDescent="0.25">
      <c r="A115" s="276"/>
      <c r="B115" s="120"/>
      <c r="C115" s="1036"/>
      <c r="D115" s="1037"/>
      <c r="E115" s="1037"/>
      <c r="F115" s="1037"/>
      <c r="G115" s="1037"/>
      <c r="H115" s="1037"/>
      <c r="I115" s="1037"/>
      <c r="J115" s="1037"/>
      <c r="K115" s="1037"/>
      <c r="L115" s="1037"/>
      <c r="M115" s="1037"/>
      <c r="N115" s="1038"/>
      <c r="O115" s="772"/>
      <c r="P115" s="773"/>
      <c r="Q115" s="774"/>
      <c r="R115" s="281"/>
      <c r="S115" s="282"/>
    </row>
    <row r="116" spans="1:35" ht="10.15" customHeight="1" x14ac:dyDescent="0.25">
      <c r="A116" s="1039"/>
      <c r="B116" s="839"/>
      <c r="C116" s="839"/>
      <c r="D116" s="839"/>
      <c r="E116" s="839"/>
      <c r="F116" s="839"/>
      <c r="G116" s="839"/>
      <c r="H116" s="839"/>
      <c r="I116" s="839"/>
      <c r="J116" s="839"/>
      <c r="K116" s="839"/>
      <c r="L116" s="839"/>
      <c r="M116" s="839"/>
      <c r="N116" s="839"/>
      <c r="O116" s="839"/>
      <c r="P116" s="839"/>
      <c r="Q116" s="839"/>
      <c r="R116" s="839"/>
      <c r="S116" s="840"/>
    </row>
    <row r="117" spans="1:35" ht="18.75" customHeight="1" x14ac:dyDescent="0.25">
      <c r="A117" s="775" t="s">
        <v>142</v>
      </c>
      <c r="B117" s="776"/>
      <c r="C117" s="776"/>
      <c r="D117" s="776"/>
      <c r="E117" s="776"/>
      <c r="F117" s="776"/>
      <c r="G117" s="776"/>
      <c r="H117" s="776"/>
      <c r="I117" s="776"/>
      <c r="J117" s="776"/>
      <c r="K117" s="776"/>
      <c r="L117" s="776"/>
      <c r="M117" s="776"/>
      <c r="N117" s="776"/>
      <c r="O117" s="776"/>
      <c r="P117" s="776"/>
      <c r="Q117" s="776"/>
      <c r="R117" s="776"/>
      <c r="S117" s="777"/>
    </row>
    <row r="118" spans="1:35" ht="105" customHeight="1" x14ac:dyDescent="0.25">
      <c r="A118" s="1292">
        <v>2</v>
      </c>
      <c r="B118" s="1293"/>
      <c r="C118" s="1001" t="s">
        <v>1342</v>
      </c>
      <c r="D118" s="598"/>
      <c r="E118" s="598"/>
      <c r="F118" s="598"/>
      <c r="G118" s="598"/>
      <c r="H118" s="598"/>
      <c r="I118" s="598"/>
      <c r="J118" s="598"/>
      <c r="K118" s="599"/>
      <c r="L118" s="87"/>
      <c r="M118" s="105" t="str">
        <f>IF(L118="Yes","Review Water Efficiency Summmary section, below, then skip to Indoor Air Quality section","")</f>
        <v/>
      </c>
      <c r="N118" s="640"/>
      <c r="O118" s="641"/>
      <c r="P118" s="641"/>
      <c r="Q118" s="641"/>
      <c r="R118" s="641"/>
      <c r="S118" s="642"/>
    </row>
    <row r="119" spans="1:35" ht="20.45" customHeight="1" x14ac:dyDescent="0.25">
      <c r="A119" s="1294"/>
      <c r="B119" s="1295"/>
      <c r="C119" s="603"/>
      <c r="D119" s="604"/>
      <c r="E119" s="604"/>
      <c r="F119" s="604"/>
      <c r="G119" s="604"/>
      <c r="H119" s="604"/>
      <c r="I119" s="604"/>
      <c r="J119" s="604"/>
      <c r="K119" s="605"/>
      <c r="L119" s="227">
        <v>18</v>
      </c>
      <c r="M119" s="126" t="str">
        <f>IF(L118="Yes",18,"")</f>
        <v/>
      </c>
      <c r="N119" s="640"/>
      <c r="O119" s="641"/>
      <c r="P119" s="641"/>
      <c r="Q119" s="641"/>
      <c r="R119" s="641"/>
      <c r="S119" s="642"/>
    </row>
    <row r="120" spans="1:35" x14ac:dyDescent="0.25">
      <c r="A120" s="778" t="s">
        <v>143</v>
      </c>
      <c r="B120" s="778"/>
      <c r="C120" s="778"/>
      <c r="D120" s="778"/>
      <c r="E120" s="778"/>
      <c r="F120" s="778"/>
      <c r="G120" s="778"/>
      <c r="H120" s="778"/>
      <c r="I120" s="778"/>
      <c r="J120" s="778"/>
      <c r="K120" s="778"/>
      <c r="L120" s="778"/>
      <c r="M120" s="778"/>
      <c r="N120" s="778"/>
      <c r="O120" s="778"/>
      <c r="P120" s="778"/>
      <c r="Q120" s="778"/>
      <c r="R120" s="778"/>
      <c r="S120" s="778"/>
    </row>
    <row r="121" spans="1:35" ht="61.9" customHeight="1" x14ac:dyDescent="0.25">
      <c r="A121" s="134" t="s">
        <v>144</v>
      </c>
      <c r="B121" s="135"/>
      <c r="C121" s="779" t="s">
        <v>1214</v>
      </c>
      <c r="D121" s="780"/>
      <c r="E121" s="780"/>
      <c r="F121" s="780"/>
      <c r="G121" s="780"/>
      <c r="H121" s="780"/>
      <c r="I121" s="781" t="s">
        <v>145</v>
      </c>
      <c r="J121" s="782"/>
      <c r="K121" s="136" t="str">
        <f>IF('7 WEiR Index'!V22="","",IF('7 WEiR Index'!V22="BEDROOMS?","???",'7 WEiR Index'!V22))</f>
        <v>???</v>
      </c>
      <c r="L121" s="227" t="s">
        <v>106</v>
      </c>
      <c r="M121" s="270" t="str">
        <f>IF(Bedrooms="","BEDROOMS?",IF(K121="","",(75-K121)))</f>
        <v>BEDROOMS?</v>
      </c>
      <c r="N121" s="783" t="s">
        <v>146</v>
      </c>
      <c r="O121" s="784"/>
      <c r="P121" s="784"/>
      <c r="Q121" s="784"/>
      <c r="R121" s="784"/>
      <c r="S121" s="784"/>
    </row>
    <row r="122" spans="1:35" ht="15" customHeight="1" x14ac:dyDescent="0.25">
      <c r="A122" s="250" t="s">
        <v>147</v>
      </c>
      <c r="B122" s="137"/>
      <c r="C122" s="785" t="s">
        <v>148</v>
      </c>
      <c r="D122" s="786"/>
      <c r="E122" s="786"/>
      <c r="F122" s="786"/>
      <c r="G122" s="786"/>
      <c r="H122" s="786"/>
      <c r="I122" s="787"/>
      <c r="J122" s="787"/>
      <c r="K122" s="788"/>
      <c r="L122" s="789">
        <v>2</v>
      </c>
      <c r="M122" s="791"/>
      <c r="N122" s="794" t="s">
        <v>1009</v>
      </c>
      <c r="O122" s="795"/>
      <c r="P122" s="795"/>
      <c r="Q122" s="795"/>
      <c r="R122" s="795"/>
      <c r="S122" s="796"/>
    </row>
    <row r="123" spans="1:35" ht="60" customHeight="1" x14ac:dyDescent="0.25">
      <c r="A123" s="251"/>
      <c r="B123" s="138"/>
      <c r="C123" s="800" t="s">
        <v>1193</v>
      </c>
      <c r="D123" s="801"/>
      <c r="E123" s="801"/>
      <c r="F123" s="801"/>
      <c r="G123" s="801"/>
      <c r="H123" s="801"/>
      <c r="I123" s="801"/>
      <c r="J123" s="801"/>
      <c r="K123" s="802"/>
      <c r="L123" s="790"/>
      <c r="M123" s="792"/>
      <c r="N123" s="797"/>
      <c r="O123" s="798"/>
      <c r="P123" s="798"/>
      <c r="Q123" s="798"/>
      <c r="R123" s="798"/>
      <c r="S123" s="799"/>
    </row>
    <row r="124" spans="1:35" ht="45.6" customHeight="1" x14ac:dyDescent="0.25">
      <c r="A124" s="251"/>
      <c r="B124" s="138"/>
      <c r="C124" s="803"/>
      <c r="D124" s="804"/>
      <c r="E124" s="804"/>
      <c r="F124" s="804"/>
      <c r="G124" s="804"/>
      <c r="H124" s="804"/>
      <c r="I124" s="804"/>
      <c r="J124" s="804"/>
      <c r="K124" s="805"/>
      <c r="L124" s="790"/>
      <c r="M124" s="793"/>
      <c r="N124" s="640"/>
      <c r="O124" s="641"/>
      <c r="P124" s="641"/>
      <c r="Q124" s="641"/>
      <c r="R124" s="641"/>
      <c r="S124" s="642"/>
    </row>
    <row r="125" spans="1:35" ht="14.25" customHeight="1" x14ac:dyDescent="0.25">
      <c r="A125" s="611" t="s">
        <v>149</v>
      </c>
      <c r="B125" s="611"/>
      <c r="C125" s="611"/>
      <c r="D125" s="611"/>
      <c r="E125" s="611"/>
      <c r="F125" s="611"/>
      <c r="G125" s="611"/>
      <c r="H125" s="611"/>
      <c r="I125" s="611"/>
      <c r="J125" s="611"/>
      <c r="K125" s="611"/>
      <c r="L125" s="611"/>
      <c r="M125" s="611"/>
      <c r="N125" s="611"/>
      <c r="O125" s="611"/>
      <c r="P125" s="611"/>
      <c r="Q125" s="611"/>
      <c r="R125" s="611"/>
      <c r="S125" s="611"/>
      <c r="U125" s="811"/>
      <c r="V125" s="811"/>
      <c r="W125" s="811"/>
      <c r="X125" s="811"/>
      <c r="Y125" s="811"/>
      <c r="Z125" s="811"/>
      <c r="AA125" s="811"/>
      <c r="AB125" s="811"/>
      <c r="AC125" s="811"/>
    </row>
    <row r="126" spans="1:35" ht="88.9" customHeight="1" x14ac:dyDescent="0.25">
      <c r="A126" s="644" t="s">
        <v>150</v>
      </c>
      <c r="B126" s="137"/>
      <c r="C126" s="639" t="s">
        <v>965</v>
      </c>
      <c r="D126" s="639"/>
      <c r="E126" s="639"/>
      <c r="F126" s="639"/>
      <c r="G126" s="639"/>
      <c r="H126" s="639"/>
      <c r="I126" s="639"/>
      <c r="J126" s="639"/>
      <c r="K126" s="639"/>
      <c r="L126" s="139"/>
      <c r="M126" s="140"/>
      <c r="N126" s="1040" t="s">
        <v>964</v>
      </c>
      <c r="O126" s="1040"/>
      <c r="P126" s="1040"/>
      <c r="Q126" s="1040"/>
      <c r="R126" s="1040"/>
      <c r="S126" s="1040"/>
    </row>
    <row r="127" spans="1:35" ht="48" customHeight="1" x14ac:dyDescent="0.25">
      <c r="A127" s="646"/>
      <c r="B127" s="141"/>
      <c r="C127" s="811" t="s">
        <v>881</v>
      </c>
      <c r="D127" s="811"/>
      <c r="E127" s="811"/>
      <c r="F127" s="811"/>
      <c r="G127" s="811"/>
      <c r="H127" s="811"/>
      <c r="I127" s="811"/>
      <c r="J127" s="811"/>
      <c r="K127" s="811"/>
      <c r="L127" s="142">
        <v>1</v>
      </c>
      <c r="M127" s="14"/>
      <c r="N127" s="609"/>
      <c r="O127" s="609"/>
      <c r="P127" s="609"/>
      <c r="Q127" s="609"/>
      <c r="R127" s="609"/>
      <c r="S127" s="609"/>
    </row>
    <row r="128" spans="1:35" ht="48" customHeight="1" x14ac:dyDescent="0.25">
      <c r="A128" s="646"/>
      <c r="B128" s="141"/>
      <c r="C128" s="811" t="s">
        <v>882</v>
      </c>
      <c r="D128" s="811"/>
      <c r="E128" s="811"/>
      <c r="F128" s="811"/>
      <c r="G128" s="811"/>
      <c r="H128" s="811"/>
      <c r="I128" s="811"/>
      <c r="J128" s="811"/>
      <c r="K128" s="811"/>
      <c r="L128" s="142">
        <v>1</v>
      </c>
      <c r="M128" s="14"/>
      <c r="N128" s="609"/>
      <c r="O128" s="609"/>
      <c r="P128" s="609"/>
      <c r="Q128" s="609"/>
      <c r="R128" s="609"/>
      <c r="S128" s="609"/>
    </row>
    <row r="129" spans="1:20" ht="46.9" customHeight="1" x14ac:dyDescent="0.25">
      <c r="A129" s="646"/>
      <c r="B129" s="141"/>
      <c r="C129" s="610" t="s">
        <v>151</v>
      </c>
      <c r="D129" s="610"/>
      <c r="E129" s="610"/>
      <c r="F129" s="610"/>
      <c r="G129" s="610"/>
      <c r="H129" s="610"/>
      <c r="I129" s="610"/>
      <c r="J129" s="610"/>
      <c r="K129" s="610"/>
      <c r="L129" s="143">
        <v>2</v>
      </c>
      <c r="M129" s="14"/>
      <c r="N129" s="609"/>
      <c r="O129" s="609"/>
      <c r="P129" s="609"/>
      <c r="Q129" s="609"/>
      <c r="R129" s="609"/>
      <c r="S129" s="609"/>
    </row>
    <row r="130" spans="1:20" ht="59.1" customHeight="1" x14ac:dyDescent="0.25">
      <c r="A130" s="648"/>
      <c r="B130" s="144"/>
      <c r="C130" s="610" t="s">
        <v>1343</v>
      </c>
      <c r="D130" s="610"/>
      <c r="E130" s="610"/>
      <c r="F130" s="610"/>
      <c r="G130" s="610"/>
      <c r="H130" s="610"/>
      <c r="I130" s="610"/>
      <c r="J130" s="610"/>
      <c r="K130" s="610"/>
      <c r="L130" s="145" t="s">
        <v>837</v>
      </c>
      <c r="M130" s="14"/>
      <c r="N130" s="637"/>
      <c r="O130" s="637"/>
      <c r="P130" s="637"/>
      <c r="Q130" s="637"/>
      <c r="R130" s="637"/>
      <c r="S130" s="637"/>
    </row>
    <row r="131" spans="1:20" ht="17.45" customHeight="1" x14ac:dyDescent="0.25">
      <c r="A131" s="612" t="s">
        <v>152</v>
      </c>
      <c r="B131" s="146"/>
      <c r="C131" s="639" t="s">
        <v>153</v>
      </c>
      <c r="D131" s="639"/>
      <c r="E131" s="639"/>
      <c r="F131" s="639"/>
      <c r="G131" s="639"/>
      <c r="H131" s="639"/>
      <c r="I131" s="639"/>
      <c r="J131" s="639"/>
      <c r="K131" s="639"/>
      <c r="L131" s="139"/>
      <c r="M131" s="139"/>
      <c r="N131" s="1321"/>
      <c r="O131" s="1321"/>
      <c r="P131" s="1321"/>
      <c r="Q131" s="1321"/>
      <c r="R131" s="1321"/>
      <c r="S131" s="1321"/>
    </row>
    <row r="132" spans="1:20" ht="76.900000000000006" customHeight="1" x14ac:dyDescent="0.25">
      <c r="A132" s="1265"/>
      <c r="B132" s="141"/>
      <c r="C132" s="606" t="s">
        <v>1344</v>
      </c>
      <c r="D132" s="607"/>
      <c r="E132" s="607"/>
      <c r="F132" s="607"/>
      <c r="G132" s="607"/>
      <c r="H132" s="607"/>
      <c r="I132" s="607"/>
      <c r="J132" s="607"/>
      <c r="K132" s="608"/>
      <c r="L132" s="147">
        <v>1</v>
      </c>
      <c r="M132" s="12"/>
      <c r="N132" s="634"/>
      <c r="O132" s="635"/>
      <c r="P132" s="635"/>
      <c r="Q132" s="635"/>
      <c r="R132" s="635"/>
      <c r="S132" s="636"/>
    </row>
    <row r="133" spans="1:20" ht="31.15" customHeight="1" x14ac:dyDescent="0.25">
      <c r="A133" s="613"/>
      <c r="B133" s="138"/>
      <c r="C133" s="606" t="s">
        <v>1218</v>
      </c>
      <c r="D133" s="607"/>
      <c r="E133" s="607"/>
      <c r="F133" s="607"/>
      <c r="G133" s="607"/>
      <c r="H133" s="607"/>
      <c r="I133" s="607"/>
      <c r="J133" s="607"/>
      <c r="K133" s="608"/>
      <c r="L133" s="148" t="s">
        <v>154</v>
      </c>
      <c r="M133" s="15"/>
      <c r="N133" s="609"/>
      <c r="O133" s="609"/>
      <c r="P133" s="609"/>
      <c r="Q133" s="609"/>
      <c r="R133" s="609"/>
      <c r="S133" s="609"/>
      <c r="T133" s="149"/>
    </row>
    <row r="134" spans="1:20" ht="18.399999999999999" customHeight="1" x14ac:dyDescent="0.25">
      <c r="A134" s="614"/>
      <c r="B134" s="135"/>
      <c r="C134" s="610" t="s">
        <v>1219</v>
      </c>
      <c r="D134" s="610"/>
      <c r="E134" s="610"/>
      <c r="F134" s="610"/>
      <c r="G134" s="610"/>
      <c r="H134" s="610"/>
      <c r="I134" s="610"/>
      <c r="J134" s="610"/>
      <c r="K134" s="610"/>
      <c r="L134" s="150">
        <v>1</v>
      </c>
      <c r="M134" s="16"/>
      <c r="N134" s="609"/>
      <c r="O134" s="609"/>
      <c r="P134" s="609"/>
      <c r="Q134" s="609"/>
      <c r="R134" s="609"/>
      <c r="S134" s="609"/>
    </row>
    <row r="135" spans="1:20" x14ac:dyDescent="0.25">
      <c r="A135" s="611" t="s">
        <v>155</v>
      </c>
      <c r="B135" s="611"/>
      <c r="C135" s="611"/>
      <c r="D135" s="611"/>
      <c r="E135" s="611"/>
      <c r="F135" s="611"/>
      <c r="G135" s="611"/>
      <c r="H135" s="611"/>
      <c r="I135" s="611"/>
      <c r="J135" s="611"/>
      <c r="K135" s="611"/>
      <c r="L135" s="611"/>
      <c r="M135" s="611"/>
      <c r="N135" s="611"/>
      <c r="O135" s="611"/>
      <c r="P135" s="611"/>
      <c r="Q135" s="611"/>
      <c r="R135" s="611"/>
      <c r="S135" s="611"/>
    </row>
    <row r="136" spans="1:20" ht="28.9" customHeight="1" x14ac:dyDescent="0.25">
      <c r="A136" s="612" t="s">
        <v>156</v>
      </c>
      <c r="B136" s="146"/>
      <c r="C136" s="808" t="s">
        <v>157</v>
      </c>
      <c r="D136" s="639"/>
      <c r="E136" s="639"/>
      <c r="F136" s="639"/>
      <c r="G136" s="639"/>
      <c r="H136" s="639"/>
      <c r="I136" s="639"/>
      <c r="J136" s="639"/>
      <c r="K136" s="639"/>
      <c r="L136" s="139"/>
      <c r="M136" s="139"/>
      <c r="N136" s="809" t="s">
        <v>158</v>
      </c>
      <c r="O136" s="810"/>
      <c r="P136" s="810"/>
      <c r="Q136" s="810"/>
      <c r="R136" s="810"/>
      <c r="S136" s="810"/>
    </row>
    <row r="137" spans="1:20" ht="30" customHeight="1" x14ac:dyDescent="0.25">
      <c r="A137" s="613"/>
      <c r="B137" s="141"/>
      <c r="C137" s="811" t="s">
        <v>159</v>
      </c>
      <c r="D137" s="811"/>
      <c r="E137" s="811"/>
      <c r="F137" s="811"/>
      <c r="G137" s="811"/>
      <c r="H137" s="811"/>
      <c r="I137" s="811"/>
      <c r="J137" s="811"/>
      <c r="K137" s="811"/>
      <c r="L137" s="142" t="s">
        <v>160</v>
      </c>
      <c r="M137" s="12"/>
      <c r="N137" s="563"/>
      <c r="O137" s="563"/>
      <c r="P137" s="563"/>
      <c r="Q137" s="563"/>
      <c r="R137" s="563"/>
      <c r="S137" s="563"/>
    </row>
    <row r="138" spans="1:20" ht="30" customHeight="1" x14ac:dyDescent="0.25">
      <c r="A138" s="614"/>
      <c r="B138" s="144"/>
      <c r="C138" s="610" t="s">
        <v>161</v>
      </c>
      <c r="D138" s="610"/>
      <c r="E138" s="610"/>
      <c r="F138" s="610"/>
      <c r="G138" s="610"/>
      <c r="H138" s="610"/>
      <c r="I138" s="610"/>
      <c r="J138" s="610"/>
      <c r="K138" s="610"/>
      <c r="L138" s="151" t="s">
        <v>162</v>
      </c>
      <c r="M138" s="14"/>
      <c r="N138" s="637"/>
      <c r="O138" s="638"/>
      <c r="P138" s="638"/>
      <c r="Q138" s="638"/>
      <c r="R138" s="638"/>
      <c r="S138" s="638"/>
    </row>
    <row r="139" spans="1:20" ht="46.9" customHeight="1" x14ac:dyDescent="0.25">
      <c r="A139" s="250" t="s">
        <v>163</v>
      </c>
      <c r="B139" s="146"/>
      <c r="C139" s="639" t="s">
        <v>164</v>
      </c>
      <c r="D139" s="639"/>
      <c r="E139" s="639"/>
      <c r="F139" s="639"/>
      <c r="G139" s="639"/>
      <c r="H139" s="639"/>
      <c r="I139" s="639"/>
      <c r="J139" s="639"/>
      <c r="K139" s="639"/>
      <c r="L139" s="152">
        <v>5</v>
      </c>
      <c r="M139" s="152">
        <f>MIN(TRUNC(SUM((IF('7 WEiR Index'!$H$13=0,0.0001,'7 WEiR Index'!$I$13/'7 WEiR Index'!$H$13)*'Indoor_Values_(HIDE)'!$C$36),(IF('7 WEiR Index'!$H$14=0,0.0001,'7 WEiR Index'!$I$14/'7 WEiR Index'!$H$14*'Indoor_Values_(HIDE)'!$C$37)),(IF('7 WEiR Index'!$H$15=0,0.0001,'7 WEiR Index'!$I$15/'7 WEiR Index'!$H$15*'Indoor_Values_(HIDE)'!$C$38)),(IF('7 WEiR Index'!$H$18=0,0.0001,'7 WEiR Index'!$I$18/'7 WEiR Index'!$H$18*'Indoor_Values_(HIDE)'!$C$41)))/SUM('Indoor_Values_(HIDE)'!$C$36,'Indoor_Values_(HIDE)'!$C$37,'Indoor_Values_(HIDE)'!$C$38,'Indoor_Values_(HIDE)'!$C$41)/0.1*0.5),5)</f>
        <v>0</v>
      </c>
      <c r="N139" s="561" t="s">
        <v>165</v>
      </c>
      <c r="O139" s="561"/>
      <c r="P139" s="561"/>
      <c r="Q139" s="561"/>
      <c r="R139" s="561"/>
      <c r="S139" s="561"/>
    </row>
    <row r="140" spans="1:20" x14ac:dyDescent="0.25">
      <c r="A140" s="562" t="s">
        <v>166</v>
      </c>
      <c r="B140" s="562"/>
      <c r="C140" s="562"/>
      <c r="D140" s="562"/>
      <c r="E140" s="562"/>
      <c r="F140" s="562"/>
      <c r="G140" s="562"/>
      <c r="H140" s="562"/>
      <c r="I140" s="562"/>
      <c r="J140" s="562"/>
      <c r="K140" s="562"/>
      <c r="L140" s="562"/>
      <c r="M140" s="562"/>
      <c r="N140" s="562"/>
      <c r="O140" s="562"/>
      <c r="P140" s="562"/>
      <c r="Q140" s="562"/>
      <c r="R140" s="562"/>
      <c r="S140" s="562"/>
    </row>
    <row r="141" spans="1:20" ht="42.6" customHeight="1" x14ac:dyDescent="0.25">
      <c r="A141" s="273" t="s">
        <v>167</v>
      </c>
      <c r="B141" s="146"/>
      <c r="C141" s="615" t="s">
        <v>883</v>
      </c>
      <c r="D141" s="615"/>
      <c r="E141" s="615"/>
      <c r="F141" s="615"/>
      <c r="G141" s="615"/>
      <c r="H141" s="615"/>
      <c r="I141" s="615"/>
      <c r="J141" s="615"/>
      <c r="K141" s="615"/>
      <c r="L141" s="581">
        <v>1</v>
      </c>
      <c r="M141" s="631"/>
      <c r="N141" s="585"/>
      <c r="O141" s="617"/>
      <c r="P141" s="617"/>
      <c r="Q141" s="617"/>
      <c r="R141" s="617"/>
      <c r="S141" s="618"/>
    </row>
    <row r="142" spans="1:20" ht="15" customHeight="1" x14ac:dyDescent="0.25">
      <c r="A142" s="153"/>
      <c r="B142" s="141"/>
      <c r="C142" s="625" t="s">
        <v>168</v>
      </c>
      <c r="D142" s="626"/>
      <c r="E142" s="626"/>
      <c r="F142" s="626"/>
      <c r="G142" s="626"/>
      <c r="H142" s="626"/>
      <c r="I142" s="626"/>
      <c r="J142" s="626"/>
      <c r="K142" s="627"/>
      <c r="L142" s="616"/>
      <c r="M142" s="632"/>
      <c r="N142" s="619"/>
      <c r="O142" s="620"/>
      <c r="P142" s="620"/>
      <c r="Q142" s="620"/>
      <c r="R142" s="620"/>
      <c r="S142" s="621"/>
    </row>
    <row r="143" spans="1:20" ht="15" customHeight="1" x14ac:dyDescent="0.25">
      <c r="A143" s="154"/>
      <c r="B143" s="144"/>
      <c r="C143" s="628" t="s">
        <v>169</v>
      </c>
      <c r="D143" s="629"/>
      <c r="E143" s="629"/>
      <c r="F143" s="629"/>
      <c r="G143" s="629"/>
      <c r="H143" s="629"/>
      <c r="I143" s="629"/>
      <c r="J143" s="629"/>
      <c r="K143" s="630"/>
      <c r="L143" s="582"/>
      <c r="M143" s="633"/>
      <c r="N143" s="622"/>
      <c r="O143" s="623"/>
      <c r="P143" s="623"/>
      <c r="Q143" s="623"/>
      <c r="R143" s="623"/>
      <c r="S143" s="624"/>
    </row>
    <row r="144" spans="1:20" ht="45.6" customHeight="1" x14ac:dyDescent="0.25">
      <c r="A144" s="155" t="s">
        <v>170</v>
      </c>
      <c r="B144" s="156"/>
      <c r="C144" s="615" t="s">
        <v>884</v>
      </c>
      <c r="D144" s="615"/>
      <c r="E144" s="615"/>
      <c r="F144" s="615"/>
      <c r="G144" s="615"/>
      <c r="H144" s="615"/>
      <c r="I144" s="615"/>
      <c r="J144" s="615"/>
      <c r="K144" s="615"/>
      <c r="L144" s="227">
        <v>1</v>
      </c>
      <c r="M144" s="17"/>
      <c r="N144" s="640"/>
      <c r="O144" s="641"/>
      <c r="P144" s="641"/>
      <c r="Q144" s="641"/>
      <c r="R144" s="641"/>
      <c r="S144" s="642"/>
    </row>
    <row r="145" spans="1:22" ht="30.6" customHeight="1" x14ac:dyDescent="0.25">
      <c r="A145" s="155" t="s">
        <v>171</v>
      </c>
      <c r="B145" s="156"/>
      <c r="C145" s="615" t="s">
        <v>1056</v>
      </c>
      <c r="D145" s="615"/>
      <c r="E145" s="615"/>
      <c r="F145" s="615"/>
      <c r="G145" s="615"/>
      <c r="H145" s="615"/>
      <c r="I145" s="615"/>
      <c r="J145" s="615"/>
      <c r="K145" s="615"/>
      <c r="L145" s="227">
        <v>1</v>
      </c>
      <c r="M145" s="17"/>
      <c r="N145" s="640"/>
      <c r="O145" s="641"/>
      <c r="P145" s="641"/>
      <c r="Q145" s="641"/>
      <c r="R145" s="641"/>
      <c r="S145" s="642"/>
    </row>
    <row r="146" spans="1:22" ht="15" customHeight="1" x14ac:dyDescent="0.25">
      <c r="A146" s="155" t="s">
        <v>172</v>
      </c>
      <c r="B146" s="156"/>
      <c r="C146" s="643" t="s">
        <v>1020</v>
      </c>
      <c r="D146" s="615"/>
      <c r="E146" s="615"/>
      <c r="F146" s="615"/>
      <c r="G146" s="615"/>
      <c r="H146" s="615"/>
      <c r="I146" s="615"/>
      <c r="J146" s="615"/>
      <c r="K146" s="615"/>
      <c r="L146" s="227">
        <v>1</v>
      </c>
      <c r="M146" s="17"/>
      <c r="N146" s="640"/>
      <c r="O146" s="641"/>
      <c r="P146" s="641"/>
      <c r="Q146" s="641"/>
      <c r="R146" s="641"/>
      <c r="S146" s="642"/>
    </row>
    <row r="147" spans="1:22" ht="60.95" customHeight="1" x14ac:dyDescent="0.25">
      <c r="A147" s="155" t="s">
        <v>173</v>
      </c>
      <c r="B147" s="156"/>
      <c r="C147" s="643" t="s">
        <v>885</v>
      </c>
      <c r="D147" s="615"/>
      <c r="E147" s="615"/>
      <c r="F147" s="615"/>
      <c r="G147" s="615"/>
      <c r="H147" s="615"/>
      <c r="I147" s="615"/>
      <c r="J147" s="615"/>
      <c r="K147" s="615"/>
      <c r="L147" s="227" t="s">
        <v>177</v>
      </c>
      <c r="M147" s="214"/>
      <c r="N147" s="640"/>
      <c r="O147" s="641"/>
      <c r="P147" s="641"/>
      <c r="Q147" s="641"/>
      <c r="R147" s="641"/>
      <c r="S147" s="642"/>
    </row>
    <row r="148" spans="1:22" ht="33.75" customHeight="1" x14ac:dyDescent="0.25">
      <c r="A148" s="155" t="s">
        <v>174</v>
      </c>
      <c r="B148" s="156"/>
      <c r="C148" s="643" t="s">
        <v>886</v>
      </c>
      <c r="D148" s="615"/>
      <c r="E148" s="615"/>
      <c r="F148" s="615"/>
      <c r="G148" s="615"/>
      <c r="H148" s="615"/>
      <c r="I148" s="615"/>
      <c r="J148" s="615"/>
      <c r="K148" s="615"/>
      <c r="L148" s="227">
        <v>0.5</v>
      </c>
      <c r="M148" s="214"/>
      <c r="N148" s="640"/>
      <c r="O148" s="641"/>
      <c r="P148" s="641"/>
      <c r="Q148" s="641"/>
      <c r="R148" s="641"/>
      <c r="S148" s="642"/>
    </row>
    <row r="149" spans="1:22" ht="18" customHeight="1" x14ac:dyDescent="0.25">
      <c r="A149" s="155" t="s">
        <v>175</v>
      </c>
      <c r="B149" s="156"/>
      <c r="C149" s="643" t="s">
        <v>887</v>
      </c>
      <c r="D149" s="615"/>
      <c r="E149" s="615"/>
      <c r="F149" s="615"/>
      <c r="G149" s="615"/>
      <c r="H149" s="615"/>
      <c r="I149" s="615"/>
      <c r="J149" s="615"/>
      <c r="K149" s="615"/>
      <c r="L149" s="227">
        <v>1</v>
      </c>
      <c r="M149" s="17"/>
      <c r="N149" s="640"/>
      <c r="O149" s="641"/>
      <c r="P149" s="641"/>
      <c r="Q149" s="641"/>
      <c r="R149" s="641"/>
      <c r="S149" s="642"/>
    </row>
    <row r="150" spans="1:22" ht="16.149999999999999" customHeight="1" x14ac:dyDescent="0.25">
      <c r="A150" s="155" t="s">
        <v>176</v>
      </c>
      <c r="B150" s="156"/>
      <c r="C150" s="643" t="s">
        <v>888</v>
      </c>
      <c r="D150" s="615"/>
      <c r="E150" s="615"/>
      <c r="F150" s="615"/>
      <c r="G150" s="615"/>
      <c r="H150" s="615"/>
      <c r="I150" s="615"/>
      <c r="J150" s="615"/>
      <c r="K150" s="615"/>
      <c r="L150" s="227">
        <v>2</v>
      </c>
      <c r="M150" s="11"/>
      <c r="N150" s="640"/>
      <c r="O150" s="641"/>
      <c r="P150" s="641"/>
      <c r="Q150" s="641"/>
      <c r="R150" s="641"/>
      <c r="S150" s="642"/>
    </row>
    <row r="151" spans="1:22" ht="15" customHeight="1" x14ac:dyDescent="0.25">
      <c r="A151" s="155" t="s">
        <v>178</v>
      </c>
      <c r="B151" s="156"/>
      <c r="C151" s="643" t="s">
        <v>889</v>
      </c>
      <c r="D151" s="615"/>
      <c r="E151" s="615"/>
      <c r="F151" s="615"/>
      <c r="G151" s="615"/>
      <c r="H151" s="615"/>
      <c r="I151" s="615"/>
      <c r="J151" s="615"/>
      <c r="K151" s="615"/>
      <c r="L151" s="227">
        <v>2</v>
      </c>
      <c r="M151" s="11"/>
      <c r="N151" s="640"/>
      <c r="O151" s="641"/>
      <c r="P151" s="641"/>
      <c r="Q151" s="641"/>
      <c r="R151" s="641"/>
      <c r="S151" s="642"/>
    </row>
    <row r="152" spans="1:22" ht="118.15" customHeight="1" x14ac:dyDescent="0.25">
      <c r="A152" s="644" t="s">
        <v>179</v>
      </c>
      <c r="B152" s="645"/>
      <c r="C152" s="549" t="s">
        <v>1384</v>
      </c>
      <c r="D152" s="486"/>
      <c r="E152" s="486"/>
      <c r="F152" s="486"/>
      <c r="G152" s="486"/>
      <c r="H152" s="486"/>
      <c r="I152" s="486"/>
      <c r="J152" s="486"/>
      <c r="K152" s="486"/>
      <c r="L152" s="227" t="s">
        <v>1016</v>
      </c>
      <c r="M152" s="11"/>
      <c r="N152" s="415"/>
      <c r="O152" s="416"/>
      <c r="P152" s="416"/>
      <c r="Q152" s="416"/>
      <c r="R152" s="416"/>
      <c r="S152" s="417"/>
    </row>
    <row r="153" spans="1:22" ht="91.15" customHeight="1" x14ac:dyDescent="0.25">
      <c r="A153" s="646"/>
      <c r="B153" s="647"/>
      <c r="C153" s="578" t="s">
        <v>1385</v>
      </c>
      <c r="D153" s="578"/>
      <c r="E153" s="578"/>
      <c r="F153" s="578"/>
      <c r="G153" s="578"/>
      <c r="H153" s="578"/>
      <c r="I153" s="578"/>
      <c r="J153" s="578"/>
      <c r="K153" s="578"/>
      <c r="L153" s="581">
        <v>3</v>
      </c>
      <c r="M153" s="583"/>
      <c r="N153" s="585"/>
      <c r="O153" s="586"/>
      <c r="P153" s="586"/>
      <c r="Q153" s="586"/>
      <c r="R153" s="586"/>
      <c r="S153" s="587"/>
    </row>
    <row r="154" spans="1:22" ht="160.9" customHeight="1" x14ac:dyDescent="0.25">
      <c r="A154" s="648"/>
      <c r="B154" s="649"/>
      <c r="C154" s="579"/>
      <c r="D154" s="580"/>
      <c r="E154" s="580"/>
      <c r="F154" s="580"/>
      <c r="G154" s="580"/>
      <c r="H154" s="580"/>
      <c r="I154" s="580"/>
      <c r="J154" s="580"/>
      <c r="K154" s="580"/>
      <c r="L154" s="582"/>
      <c r="M154" s="584"/>
      <c r="N154" s="588"/>
      <c r="O154" s="589"/>
      <c r="P154" s="589"/>
      <c r="Q154" s="589"/>
      <c r="R154" s="589"/>
      <c r="S154" s="590"/>
    </row>
    <row r="155" spans="1:22" ht="21" customHeight="1" x14ac:dyDescent="0.25">
      <c r="A155" s="1048" t="s">
        <v>850</v>
      </c>
      <c r="B155" s="1049"/>
      <c r="C155" s="1049"/>
      <c r="D155" s="1049"/>
      <c r="E155" s="1049"/>
      <c r="F155" s="1049"/>
      <c r="G155" s="1049"/>
      <c r="H155" s="1049"/>
      <c r="I155" s="1049"/>
      <c r="J155" s="1049"/>
      <c r="K155" s="1049"/>
      <c r="L155" s="1050"/>
      <c r="M155" s="1050"/>
      <c r="N155" s="1051"/>
      <c r="O155" s="1051"/>
      <c r="P155" s="1051"/>
      <c r="Q155" s="1051"/>
      <c r="R155" s="1051"/>
      <c r="S155" s="1052"/>
    </row>
    <row r="156" spans="1:22" ht="30" customHeight="1" x14ac:dyDescent="0.25">
      <c r="A156" s="157"/>
      <c r="B156" s="272"/>
      <c r="C156" s="1053" t="s">
        <v>838</v>
      </c>
      <c r="D156" s="1051"/>
      <c r="E156" s="1051"/>
      <c r="F156" s="1051"/>
      <c r="G156" s="1051"/>
      <c r="H156" s="1051"/>
      <c r="I156" s="1051"/>
      <c r="J156" s="1051"/>
      <c r="K156" s="1051"/>
      <c r="L156" s="1054" t="str">
        <f>IF(AND(O159="Any Level",O160="Emerald",O161="Yes"),"Emerald",IF(AND(O159="Any Level",O160="Gold",O161="Yes"),"Gold","CANNOT CERTIFY"))</f>
        <v>CANNOT CERTIFY</v>
      </c>
      <c r="M156" s="704"/>
      <c r="N156" s="1063" t="str">
        <f>IF(AND(L118="Yes",OR(L156="Gold",L156="Emerald")),"Water efficiencies practices were satisfied using Water Efficiency Rating Scoree (WERS) or EPA WaterSense program.","")</f>
        <v/>
      </c>
      <c r="O156" s="1064"/>
      <c r="P156" s="1064"/>
      <c r="Q156" s="1064"/>
      <c r="R156" s="218"/>
      <c r="S156" s="219"/>
    </row>
    <row r="157" spans="1:22" ht="10.15" customHeight="1" x14ac:dyDescent="0.25">
      <c r="A157" s="1044"/>
      <c r="B157" s="1045"/>
      <c r="C157" s="1045"/>
      <c r="D157" s="1045"/>
      <c r="E157" s="1045"/>
      <c r="F157" s="1045"/>
      <c r="G157" s="1045"/>
      <c r="H157" s="1045"/>
      <c r="I157" s="1045"/>
      <c r="J157" s="1045"/>
      <c r="K157" s="1045"/>
      <c r="L157" s="1046"/>
      <c r="M157" s="1046"/>
      <c r="N157" s="1046"/>
      <c r="O157" s="1046"/>
      <c r="P157" s="1046"/>
      <c r="Q157" s="1046"/>
      <c r="R157" s="1046"/>
      <c r="S157" s="1047"/>
    </row>
    <row r="158" spans="1:22" ht="18" customHeight="1" x14ac:dyDescent="0.25">
      <c r="A158" s="153"/>
      <c r="B158" s="158"/>
      <c r="C158" s="1055" t="s">
        <v>839</v>
      </c>
      <c r="D158" s="1055"/>
      <c r="E158" s="1055"/>
      <c r="F158" s="1055"/>
      <c r="G158" s="1055"/>
      <c r="H158" s="1055"/>
      <c r="I158" s="1055"/>
      <c r="J158" s="1056" t="s">
        <v>825</v>
      </c>
      <c r="K158" s="1056"/>
      <c r="L158" s="192">
        <v>57.5</v>
      </c>
      <c r="M158" s="192">
        <f>IF(L118="Yes",SUM(M119),IF(OR(L118="",L118="No"),SUM(M121,M122,MAX(M127+M128,M129),M130,M132,M133,M134,M137,M138,MAX(M139,M150+M151),M141,M144,M145,M146,M147,M148,M149,M150,M151,M152,M153),"???"))</f>
        <v>0</v>
      </c>
      <c r="N158" s="1057" t="s">
        <v>826</v>
      </c>
      <c r="O158" s="1058"/>
      <c r="P158" s="1058"/>
      <c r="Q158" s="1058"/>
      <c r="R158" s="1059"/>
      <c r="S158" s="1060"/>
    </row>
    <row r="159" spans="1:22" ht="36" customHeight="1" x14ac:dyDescent="0.25">
      <c r="A159" s="153"/>
      <c r="B159" s="158"/>
      <c r="C159" s="763" t="s">
        <v>913</v>
      </c>
      <c r="D159" s="764"/>
      <c r="E159" s="764"/>
      <c r="F159" s="764"/>
      <c r="G159" s="764"/>
      <c r="H159" s="764"/>
      <c r="I159" s="764"/>
      <c r="J159" s="764"/>
      <c r="K159" s="764"/>
      <c r="L159" s="764"/>
      <c r="M159" s="764"/>
      <c r="N159" s="765"/>
      <c r="O159" s="772" t="str">
        <f>IF(AND(OR(L118="",L118="No"),K121&lt;=75),"Any Level",IF(L118="Yes","Any Level","Cannot Certify"))</f>
        <v>Cannot Certify</v>
      </c>
      <c r="P159" s="1065"/>
      <c r="Q159" s="1066"/>
      <c r="R159" s="1061"/>
      <c r="S159" s="1062"/>
      <c r="U159" s="160"/>
      <c r="V159" s="160"/>
    </row>
    <row r="160" spans="1:22" ht="58.15" customHeight="1" x14ac:dyDescent="0.25">
      <c r="A160" s="153"/>
      <c r="B160" s="158"/>
      <c r="C160" s="763" t="s">
        <v>1325</v>
      </c>
      <c r="D160" s="764"/>
      <c r="E160" s="764"/>
      <c r="F160" s="764"/>
      <c r="G160" s="764"/>
      <c r="H160" s="764"/>
      <c r="I160" s="764"/>
      <c r="J160" s="764"/>
      <c r="K160" s="764"/>
      <c r="L160" s="764"/>
      <c r="M160" s="764"/>
      <c r="N160" s="765"/>
      <c r="O160" s="772" t="str">
        <f>IF(M158&gt;=18,"Emerald",IF(M158&gt;=12,"Gold","Cannot Certify"))</f>
        <v>Cannot Certify</v>
      </c>
      <c r="P160" s="1065"/>
      <c r="Q160" s="1066"/>
      <c r="R160" s="1061"/>
      <c r="S160" s="1062"/>
      <c r="U160" s="160"/>
      <c r="V160" s="160"/>
    </row>
    <row r="161" spans="1:22" ht="18" customHeight="1" x14ac:dyDescent="0.25">
      <c r="A161" s="153"/>
      <c r="B161" s="158"/>
      <c r="C161" s="763" t="s">
        <v>914</v>
      </c>
      <c r="D161" s="764"/>
      <c r="E161" s="764"/>
      <c r="F161" s="764"/>
      <c r="G161" s="764"/>
      <c r="H161" s="764"/>
      <c r="I161" s="764"/>
      <c r="J161" s="764"/>
      <c r="K161" s="764"/>
      <c r="L161" s="764"/>
      <c r="M161" s="764"/>
      <c r="N161" s="765"/>
      <c r="O161" s="1041" t="str">
        <f>IF(M152=1,"Yes","No")</f>
        <v>No</v>
      </c>
      <c r="P161" s="1042"/>
      <c r="Q161" s="1043"/>
      <c r="R161" s="1061"/>
      <c r="S161" s="1062"/>
      <c r="U161" s="160"/>
      <c r="V161" s="160"/>
    </row>
    <row r="162" spans="1:22" ht="10.15" customHeight="1" x14ac:dyDescent="0.25">
      <c r="A162" s="1044"/>
      <c r="B162" s="1045"/>
      <c r="C162" s="1045"/>
      <c r="D162" s="1045"/>
      <c r="E162" s="1045"/>
      <c r="F162" s="1045"/>
      <c r="G162" s="1045"/>
      <c r="H162" s="1045"/>
      <c r="I162" s="1045"/>
      <c r="J162" s="1045"/>
      <c r="K162" s="1045"/>
      <c r="L162" s="1046"/>
      <c r="M162" s="1046"/>
      <c r="N162" s="1046"/>
      <c r="O162" s="1046"/>
      <c r="P162" s="1046"/>
      <c r="Q162" s="1046"/>
      <c r="R162" s="1046"/>
      <c r="S162" s="1047"/>
    </row>
    <row r="163" spans="1:22" ht="18" customHeight="1" x14ac:dyDescent="0.25">
      <c r="A163" s="1318" t="s">
        <v>181</v>
      </c>
      <c r="B163" s="1319"/>
      <c r="C163" s="1319"/>
      <c r="D163" s="1319"/>
      <c r="E163" s="1319"/>
      <c r="F163" s="1319"/>
      <c r="G163" s="1319"/>
      <c r="H163" s="1319"/>
      <c r="I163" s="1319"/>
      <c r="J163" s="1319"/>
      <c r="K163" s="1319"/>
      <c r="L163" s="1319"/>
      <c r="M163" s="1319"/>
      <c r="N163" s="1319"/>
      <c r="O163" s="1319"/>
      <c r="P163" s="1319"/>
      <c r="Q163" s="1319"/>
      <c r="R163" s="1319"/>
      <c r="S163" s="1320"/>
    </row>
    <row r="164" spans="1:22" ht="60.6" customHeight="1" x14ac:dyDescent="0.25">
      <c r="A164" s="1074">
        <v>3</v>
      </c>
      <c r="B164" s="1075"/>
      <c r="C164" s="1001" t="s">
        <v>1298</v>
      </c>
      <c r="D164" s="598"/>
      <c r="E164" s="598"/>
      <c r="F164" s="598"/>
      <c r="G164" s="598"/>
      <c r="H164" s="598"/>
      <c r="I164" s="598"/>
      <c r="J164" s="599"/>
      <c r="K164" s="295"/>
      <c r="L164" s="789">
        <v>21</v>
      </c>
      <c r="M164" s="1086" t="str">
        <f>IF(AND(K164="Yes",M166=15),"Qualifies for Gold level certification for IAQ.  Review IAQ Summary section, below, then skip to Sustainability section",IF(AND(K164="Yes",M166=21),"Qualifies for Emerald level certification for IAQ.  Review IAQ Summary section, below, then skip to Sustainability section","Project does not satify IAQ certification requirements with existing practice 3.0 responses.  Correct 3.0 responses or continue to practice 3.1.1."))</f>
        <v>Project does not satify IAQ certification requirements with existing practice 3.0 responses.  Correct 3.0 responses or continue to practice 3.1.1.</v>
      </c>
      <c r="N164" s="748"/>
      <c r="O164" s="1089"/>
      <c r="P164" s="1089"/>
      <c r="Q164" s="1089"/>
      <c r="R164" s="1089"/>
      <c r="S164" s="1090"/>
    </row>
    <row r="165" spans="1:22" ht="71.45" customHeight="1" x14ac:dyDescent="0.25">
      <c r="A165" s="1076"/>
      <c r="B165" s="1077"/>
      <c r="C165" s="1306" t="s">
        <v>1305</v>
      </c>
      <c r="D165" s="710"/>
      <c r="E165" s="710"/>
      <c r="F165" s="710"/>
      <c r="G165" s="710"/>
      <c r="H165" s="710"/>
      <c r="I165" s="710"/>
      <c r="J165" s="1307"/>
      <c r="K165" s="1308"/>
      <c r="L165" s="1088"/>
      <c r="M165" s="1087"/>
      <c r="N165" s="988"/>
      <c r="O165" s="752"/>
      <c r="P165" s="752"/>
      <c r="Q165" s="752"/>
      <c r="R165" s="752"/>
      <c r="S165" s="753"/>
    </row>
    <row r="166" spans="1:22" ht="46.9" customHeight="1" x14ac:dyDescent="0.25">
      <c r="A166" s="1076"/>
      <c r="B166" s="1077"/>
      <c r="C166" s="549" t="s">
        <v>1304</v>
      </c>
      <c r="D166" s="486"/>
      <c r="E166" s="486"/>
      <c r="F166" s="486"/>
      <c r="G166" s="486"/>
      <c r="H166" s="486"/>
      <c r="I166" s="486"/>
      <c r="J166" s="486"/>
      <c r="K166" s="87"/>
      <c r="L166" s="1088"/>
      <c r="M166" s="294" t="str">
        <f>IF(AND(K164="Yes",OR(J165="Exhaust only",J165="Supply only"),K166="Yes"),15,IF(AND(K164="Yes",OR(J165="HRV",J165="ERV"),K166="Yes"),21,""))</f>
        <v/>
      </c>
      <c r="N166" s="988"/>
      <c r="O166" s="752"/>
      <c r="P166" s="752"/>
      <c r="Q166" s="752"/>
      <c r="R166" s="752"/>
      <c r="S166" s="753"/>
    </row>
    <row r="167" spans="1:22" ht="16.5" customHeight="1" x14ac:dyDescent="0.25">
      <c r="A167" s="1067" t="s">
        <v>182</v>
      </c>
      <c r="B167" s="1067"/>
      <c r="C167" s="1067"/>
      <c r="D167" s="1067"/>
      <c r="E167" s="1067"/>
      <c r="F167" s="1067"/>
      <c r="G167" s="1067"/>
      <c r="H167" s="1067"/>
      <c r="I167" s="1067"/>
      <c r="J167" s="1067"/>
      <c r="K167" s="1067"/>
      <c r="L167" s="1067"/>
      <c r="M167" s="1067"/>
      <c r="N167" s="1067"/>
      <c r="O167" s="1067"/>
      <c r="P167" s="1067"/>
      <c r="Q167" s="1067"/>
      <c r="R167" s="1067"/>
      <c r="S167" s="1067"/>
    </row>
    <row r="168" spans="1:22" ht="17.649999999999999" customHeight="1" x14ac:dyDescent="0.25">
      <c r="A168" s="1068" t="s">
        <v>183</v>
      </c>
      <c r="B168" s="161"/>
      <c r="C168" s="1070" t="s">
        <v>184</v>
      </c>
      <c r="D168" s="626"/>
      <c r="E168" s="626"/>
      <c r="F168" s="626"/>
      <c r="G168" s="626"/>
      <c r="H168" s="626"/>
      <c r="I168" s="626"/>
      <c r="J168" s="626"/>
      <c r="K168" s="627"/>
      <c r="L168" s="162"/>
      <c r="M168" s="104"/>
      <c r="N168" s="1071"/>
      <c r="O168" s="1072"/>
      <c r="P168" s="1072"/>
      <c r="Q168" s="1072"/>
      <c r="R168" s="1072"/>
      <c r="S168" s="1073"/>
    </row>
    <row r="169" spans="1:22" ht="18.600000000000001" customHeight="1" x14ac:dyDescent="0.25">
      <c r="A169" s="1069"/>
      <c r="B169" s="163"/>
      <c r="C169" s="606" t="s">
        <v>1194</v>
      </c>
      <c r="D169" s="607"/>
      <c r="E169" s="607"/>
      <c r="F169" s="607"/>
      <c r="G169" s="607"/>
      <c r="H169" s="608"/>
      <c r="I169" s="1078"/>
      <c r="J169" s="1079"/>
      <c r="K169" s="1080"/>
      <c r="L169" s="164" t="s">
        <v>106</v>
      </c>
      <c r="M169" s="147" t="str">
        <f>IF(I169="In Compliance","In Compliance",IF(I169="Not Applicable","In Compliance","Not Met"))</f>
        <v>Not Met</v>
      </c>
      <c r="N169" s="563"/>
      <c r="O169" s="563"/>
      <c r="P169" s="563"/>
      <c r="Q169" s="563"/>
      <c r="R169" s="563"/>
      <c r="S169" s="563"/>
    </row>
    <row r="170" spans="1:22" ht="62.45" customHeight="1" x14ac:dyDescent="0.25">
      <c r="A170" s="613"/>
      <c r="B170" s="163"/>
      <c r="C170" s="606" t="s">
        <v>1195</v>
      </c>
      <c r="D170" s="607"/>
      <c r="E170" s="607"/>
      <c r="F170" s="607"/>
      <c r="G170" s="607"/>
      <c r="H170" s="608"/>
      <c r="I170" s="1078"/>
      <c r="J170" s="1081"/>
      <c r="K170" s="1082"/>
      <c r="L170" s="147" t="s">
        <v>106</v>
      </c>
      <c r="M170" s="147" t="b">
        <f>IF(I170="In Compliance","In Compliance",IF(I170="Not Met","Not Met"))</f>
        <v>0</v>
      </c>
      <c r="N170" s="634"/>
      <c r="O170" s="635"/>
      <c r="P170" s="635"/>
      <c r="Q170" s="635"/>
      <c r="R170" s="635"/>
      <c r="S170" s="636"/>
    </row>
    <row r="171" spans="1:22" ht="60" customHeight="1" x14ac:dyDescent="0.25">
      <c r="A171" s="613"/>
      <c r="B171" s="163"/>
      <c r="C171" s="606" t="s">
        <v>1196</v>
      </c>
      <c r="D171" s="607"/>
      <c r="E171" s="607"/>
      <c r="F171" s="607"/>
      <c r="G171" s="607"/>
      <c r="H171" s="608"/>
      <c r="I171" s="1083"/>
      <c r="J171" s="1084"/>
      <c r="K171" s="1085"/>
      <c r="L171" s="165" t="s">
        <v>185</v>
      </c>
      <c r="M171" s="210" t="str">
        <f>IF(I171="Verified =&gt; 100 CFM",1,IF(I171="Exhausted But Not Tested",0,"Not Met"))</f>
        <v>Not Met</v>
      </c>
      <c r="N171" s="609"/>
      <c r="O171" s="609"/>
      <c r="P171" s="609"/>
      <c r="Q171" s="609"/>
      <c r="R171" s="609"/>
      <c r="S171" s="609"/>
    </row>
    <row r="172" spans="1:22" ht="31.5" customHeight="1" x14ac:dyDescent="0.25">
      <c r="A172" s="613"/>
      <c r="B172" s="163"/>
      <c r="C172" s="811" t="s">
        <v>186</v>
      </c>
      <c r="D172" s="811"/>
      <c r="E172" s="811"/>
      <c r="F172" s="811"/>
      <c r="G172" s="811"/>
      <c r="H172" s="811"/>
      <c r="I172" s="811"/>
      <c r="J172" s="811"/>
      <c r="K172" s="811"/>
      <c r="L172" s="147">
        <v>1</v>
      </c>
      <c r="M172" s="15"/>
      <c r="N172" s="609"/>
      <c r="O172" s="609"/>
      <c r="P172" s="609"/>
      <c r="Q172" s="609"/>
      <c r="R172" s="609"/>
      <c r="S172" s="609"/>
    </row>
    <row r="173" spans="1:22" ht="18" customHeight="1" x14ac:dyDescent="0.25">
      <c r="A173" s="613"/>
      <c r="B173" s="163"/>
      <c r="C173" s="811" t="s">
        <v>187</v>
      </c>
      <c r="D173" s="811"/>
      <c r="E173" s="811"/>
      <c r="F173" s="811"/>
      <c r="G173" s="811"/>
      <c r="H173" s="811"/>
      <c r="I173" s="811"/>
      <c r="J173" s="811"/>
      <c r="K173" s="811"/>
      <c r="L173" s="147">
        <v>2</v>
      </c>
      <c r="M173" s="15"/>
      <c r="N173" s="609"/>
      <c r="O173" s="609"/>
      <c r="P173" s="609"/>
      <c r="Q173" s="609"/>
      <c r="R173" s="609"/>
      <c r="S173" s="609"/>
    </row>
    <row r="174" spans="1:22" ht="31.5" customHeight="1" x14ac:dyDescent="0.25">
      <c r="A174" s="614"/>
      <c r="B174" s="166"/>
      <c r="C174" s="610" t="s">
        <v>188</v>
      </c>
      <c r="D174" s="610"/>
      <c r="E174" s="610"/>
      <c r="F174" s="610"/>
      <c r="G174" s="610"/>
      <c r="H174" s="610"/>
      <c r="I174" s="610"/>
      <c r="J174" s="610"/>
      <c r="K174" s="610"/>
      <c r="L174" s="150">
        <v>2</v>
      </c>
      <c r="M174" s="16"/>
      <c r="N174" s="609"/>
      <c r="O174" s="609"/>
      <c r="P174" s="609"/>
      <c r="Q174" s="609"/>
      <c r="R174" s="609"/>
      <c r="S174" s="609"/>
    </row>
    <row r="175" spans="1:22" ht="18" customHeight="1" x14ac:dyDescent="0.25">
      <c r="A175" s="1091" t="s">
        <v>189</v>
      </c>
      <c r="B175" s="1091"/>
      <c r="C175" s="1091"/>
      <c r="D175" s="1091"/>
      <c r="E175" s="1091"/>
      <c r="F175" s="1091"/>
      <c r="G175" s="1091"/>
      <c r="H175" s="1091"/>
      <c r="I175" s="1091"/>
      <c r="J175" s="1091"/>
      <c r="K175" s="1091"/>
      <c r="L175" s="1091"/>
      <c r="M175" s="1091"/>
      <c r="N175" s="1091"/>
      <c r="O175" s="1091"/>
      <c r="P175" s="1091"/>
      <c r="Q175" s="1091"/>
      <c r="R175" s="1091"/>
      <c r="S175" s="1091"/>
    </row>
    <row r="176" spans="1:22" ht="65.25" customHeight="1" x14ac:dyDescent="0.25">
      <c r="A176" s="1068" t="s">
        <v>190</v>
      </c>
      <c r="B176" s="1092"/>
      <c r="C176" s="1096" t="s">
        <v>1320</v>
      </c>
      <c r="D176" s="929"/>
      <c r="E176" s="929"/>
      <c r="F176" s="929"/>
      <c r="G176" s="929"/>
      <c r="H176" s="929"/>
      <c r="I176" s="929"/>
      <c r="J176" s="929"/>
      <c r="K176" s="930"/>
      <c r="L176" s="246" t="s">
        <v>106</v>
      </c>
      <c r="M176" s="130" t="s">
        <v>191</v>
      </c>
      <c r="N176" s="761" t="s">
        <v>1018</v>
      </c>
      <c r="O176" s="695"/>
      <c r="P176" s="695"/>
      <c r="Q176" s="695"/>
      <c r="R176" s="695"/>
      <c r="S176" s="696"/>
    </row>
    <row r="177" spans="1:19" ht="16.149999999999999" customHeight="1" x14ac:dyDescent="0.25">
      <c r="A177" s="1093"/>
      <c r="B177" s="1094"/>
      <c r="C177" s="1097" t="s">
        <v>855</v>
      </c>
      <c r="D177" s="1098"/>
      <c r="E177" s="1098"/>
      <c r="F177" s="1098"/>
      <c r="G177" s="1098"/>
      <c r="H177" s="1098"/>
      <c r="I177" s="1098"/>
      <c r="J177" s="1098"/>
      <c r="K177" s="1098"/>
      <c r="L177" s="1099"/>
      <c r="M177" s="211"/>
      <c r="N177" s="585"/>
      <c r="O177" s="617"/>
      <c r="P177" s="617"/>
      <c r="Q177" s="617"/>
      <c r="R177" s="617"/>
      <c r="S177" s="618"/>
    </row>
    <row r="178" spans="1:19" ht="14.1" customHeight="1" x14ac:dyDescent="0.25">
      <c r="A178" s="1093"/>
      <c r="B178" s="1094"/>
      <c r="C178" s="1097" t="s">
        <v>1235</v>
      </c>
      <c r="D178" s="1098"/>
      <c r="E178" s="1098"/>
      <c r="F178" s="1098"/>
      <c r="G178" s="1098"/>
      <c r="H178" s="1098"/>
      <c r="I178" s="1098"/>
      <c r="J178" s="1098"/>
      <c r="K178" s="1098"/>
      <c r="L178" s="1099"/>
      <c r="M178" s="211"/>
      <c r="N178" s="619"/>
      <c r="O178" s="620"/>
      <c r="P178" s="620"/>
      <c r="Q178" s="620"/>
      <c r="R178" s="620"/>
      <c r="S178" s="621"/>
    </row>
    <row r="179" spans="1:19" ht="16.149999999999999" customHeight="1" x14ac:dyDescent="0.25">
      <c r="A179" s="1093"/>
      <c r="B179" s="1094"/>
      <c r="C179" s="1097" t="s">
        <v>1236</v>
      </c>
      <c r="D179" s="1098"/>
      <c r="E179" s="1098"/>
      <c r="F179" s="1098"/>
      <c r="G179" s="1098"/>
      <c r="H179" s="1098"/>
      <c r="I179" s="1098"/>
      <c r="J179" s="1098"/>
      <c r="K179" s="1098"/>
      <c r="L179" s="1099"/>
      <c r="M179" s="167" t="str">
        <f>IF(OR(M177="",M178=""),"Enter Data Above",IF(M177&gt;=M178,"In Compliance","Not Met"))</f>
        <v>Enter Data Above</v>
      </c>
      <c r="N179" s="622"/>
      <c r="O179" s="623"/>
      <c r="P179" s="623"/>
      <c r="Q179" s="623"/>
      <c r="R179" s="623"/>
      <c r="S179" s="624"/>
    </row>
    <row r="180" spans="1:19" ht="31.15" customHeight="1" x14ac:dyDescent="0.25">
      <c r="A180" s="1093"/>
      <c r="B180" s="1094"/>
      <c r="C180" s="1100" t="s">
        <v>958</v>
      </c>
      <c r="D180" s="1100"/>
      <c r="E180" s="1100"/>
      <c r="F180" s="1100"/>
      <c r="G180" s="1100"/>
      <c r="H180" s="1100"/>
      <c r="I180" s="1100"/>
      <c r="J180" s="1100"/>
      <c r="K180" s="1100"/>
      <c r="L180" s="164">
        <v>0</v>
      </c>
      <c r="M180" s="99"/>
      <c r="N180" s="640"/>
      <c r="O180" s="1101"/>
      <c r="P180" s="1101"/>
      <c r="Q180" s="1101"/>
      <c r="R180" s="1101"/>
      <c r="S180" s="1102"/>
    </row>
    <row r="181" spans="1:19" ht="29.25" customHeight="1" x14ac:dyDescent="0.25">
      <c r="A181" s="1093"/>
      <c r="B181" s="1094"/>
      <c r="C181" s="811" t="s">
        <v>1237</v>
      </c>
      <c r="D181" s="811"/>
      <c r="E181" s="811"/>
      <c r="F181" s="811"/>
      <c r="G181" s="811"/>
      <c r="H181" s="811"/>
      <c r="I181" s="811"/>
      <c r="J181" s="811"/>
      <c r="K181" s="811"/>
      <c r="L181" s="147">
        <v>2</v>
      </c>
      <c r="M181" s="214"/>
      <c r="N181" s="640"/>
      <c r="O181" s="1101"/>
      <c r="P181" s="1101"/>
      <c r="Q181" s="1101"/>
      <c r="R181" s="1101"/>
      <c r="S181" s="1102"/>
    </row>
    <row r="182" spans="1:19" ht="33" customHeight="1" x14ac:dyDescent="0.25">
      <c r="A182" s="1093"/>
      <c r="B182" s="1094"/>
      <c r="C182" s="610" t="s">
        <v>1238</v>
      </c>
      <c r="D182" s="610"/>
      <c r="E182" s="610"/>
      <c r="F182" s="610"/>
      <c r="G182" s="610"/>
      <c r="H182" s="610"/>
      <c r="I182" s="610"/>
      <c r="J182" s="610"/>
      <c r="K182" s="610"/>
      <c r="L182" s="150">
        <v>6</v>
      </c>
      <c r="M182" s="214"/>
      <c r="N182" s="640"/>
      <c r="O182" s="1101"/>
      <c r="P182" s="1101"/>
      <c r="Q182" s="1101"/>
      <c r="R182" s="1101"/>
      <c r="S182" s="1102"/>
    </row>
    <row r="183" spans="1:19" ht="29.65" customHeight="1" x14ac:dyDescent="0.25">
      <c r="A183" s="1093"/>
      <c r="B183" s="1094"/>
      <c r="C183" s="700" t="s">
        <v>1376</v>
      </c>
      <c r="D183" s="700"/>
      <c r="E183" s="700"/>
      <c r="F183" s="700"/>
      <c r="G183" s="700"/>
      <c r="H183" s="700"/>
      <c r="I183" s="700"/>
      <c r="J183" s="700"/>
      <c r="K183" s="700"/>
      <c r="L183" s="789">
        <v>2</v>
      </c>
      <c r="M183" s="789">
        <f>IF(J184&gt;2,0,IF(AND(J184&lt;=2,OR(J185="Exhaust or Supply, BALANCED",J185="HRV",J185="ERV")),2,0))</f>
        <v>0</v>
      </c>
      <c r="N183" s="585"/>
      <c r="O183" s="586"/>
      <c r="P183" s="586"/>
      <c r="Q183" s="586"/>
      <c r="R183" s="586"/>
      <c r="S183" s="587"/>
    </row>
    <row r="184" spans="1:19" ht="31.15" customHeight="1" x14ac:dyDescent="0.25">
      <c r="A184" s="1093"/>
      <c r="B184" s="1094"/>
      <c r="C184" s="1103" t="s">
        <v>1378</v>
      </c>
      <c r="D184" s="1104"/>
      <c r="E184" s="1104"/>
      <c r="F184" s="1104"/>
      <c r="G184" s="1104"/>
      <c r="H184" s="1104"/>
      <c r="I184" s="1105"/>
      <c r="J184" s="1106">
        <f>I41</f>
        <v>0</v>
      </c>
      <c r="K184" s="582"/>
      <c r="L184" s="790"/>
      <c r="M184" s="790"/>
      <c r="N184" s="600"/>
      <c r="O184" s="601"/>
      <c r="P184" s="601"/>
      <c r="Q184" s="601"/>
      <c r="R184" s="601"/>
      <c r="S184" s="602"/>
    </row>
    <row r="185" spans="1:19" ht="45" customHeight="1" x14ac:dyDescent="0.25">
      <c r="A185" s="1093"/>
      <c r="B185" s="1094"/>
      <c r="C185" s="1107" t="s">
        <v>1377</v>
      </c>
      <c r="D185" s="1108"/>
      <c r="E185" s="1108"/>
      <c r="F185" s="1108"/>
      <c r="G185" s="1108"/>
      <c r="H185" s="1108"/>
      <c r="I185" s="1109"/>
      <c r="J185" s="1110"/>
      <c r="K185" s="1110"/>
      <c r="L185" s="1111"/>
      <c r="M185" s="1111"/>
      <c r="N185" s="603"/>
      <c r="O185" s="604"/>
      <c r="P185" s="604"/>
      <c r="Q185" s="604"/>
      <c r="R185" s="604"/>
      <c r="S185" s="605"/>
    </row>
    <row r="186" spans="1:19" ht="62.25" customHeight="1" x14ac:dyDescent="0.25">
      <c r="A186" s="614"/>
      <c r="B186" s="1095"/>
      <c r="C186" s="610" t="s">
        <v>1348</v>
      </c>
      <c r="D186" s="610"/>
      <c r="E186" s="610"/>
      <c r="F186" s="610"/>
      <c r="G186" s="610"/>
      <c r="H186" s="610"/>
      <c r="I186" s="610"/>
      <c r="J186" s="610"/>
      <c r="K186" s="610"/>
      <c r="L186" s="150">
        <v>2</v>
      </c>
      <c r="M186" s="214"/>
      <c r="N186" s="640"/>
      <c r="O186" s="1101"/>
      <c r="P186" s="1101"/>
      <c r="Q186" s="1101"/>
      <c r="R186" s="1101"/>
      <c r="S186" s="1102"/>
    </row>
    <row r="187" spans="1:19" ht="18" customHeight="1" x14ac:dyDescent="0.25">
      <c r="A187" s="1091" t="s">
        <v>192</v>
      </c>
      <c r="B187" s="1091"/>
      <c r="C187" s="1091"/>
      <c r="D187" s="1091"/>
      <c r="E187" s="1091"/>
      <c r="F187" s="1091"/>
      <c r="G187" s="1091"/>
      <c r="H187" s="1091"/>
      <c r="I187" s="1091"/>
      <c r="J187" s="1091"/>
      <c r="K187" s="1091"/>
      <c r="L187" s="1091"/>
      <c r="M187" s="1091"/>
      <c r="N187" s="1091"/>
      <c r="O187" s="1091"/>
      <c r="P187" s="1091"/>
      <c r="Q187" s="1091"/>
      <c r="R187" s="1091"/>
      <c r="S187" s="1091"/>
    </row>
    <row r="188" spans="1:19" ht="49.9" customHeight="1" x14ac:dyDescent="0.25">
      <c r="A188" s="266" t="s">
        <v>193</v>
      </c>
      <c r="B188" s="161"/>
      <c r="C188" s="1112" t="s">
        <v>1003</v>
      </c>
      <c r="D188" s="1112"/>
      <c r="E188" s="1112"/>
      <c r="F188" s="1112"/>
      <c r="G188" s="1112"/>
      <c r="H188" s="1112"/>
      <c r="I188" s="1112"/>
      <c r="J188" s="1112"/>
      <c r="K188" s="1112"/>
      <c r="L188" s="581" t="s">
        <v>106</v>
      </c>
      <c r="M188" s="581" t="str">
        <f>IF(AND(I189="",I190=""),"Not Met",(IF(AND(I189="",I190="Yes"),"Not Met",IF(AND(I189="",I190="No"),"Not Met",IF(AND(I189="",I190="Not Applicable"),"Not Met",IF(AND(I189="Yes",I190=""),"Not Met",(IF(AND(I189="Yes",I190="Yes"),"In Compliance",IF(AND(I189="Yes",I190="No"),"Not Met",IF(AND(I189="Yes",I190="Not Applicable"),"Not Met",IF(AND(I189="No",I190=""),"In Compliance",(IF(AND(I189="No",I190="Yes"),"Review response to 3.3.1(b)",IF(AND(I189="No",I190="No"),"In Compliance",IF(AND(I189="No",I190="Not Applicable"),"In Compliance","")))))))))))))))</f>
        <v>Not Met</v>
      </c>
      <c r="N188" s="1116" t="s">
        <v>1232</v>
      </c>
      <c r="O188" s="1117"/>
      <c r="P188" s="1117"/>
      <c r="Q188" s="1117"/>
      <c r="R188" s="1117"/>
      <c r="S188" s="1118"/>
    </row>
    <row r="189" spans="1:19" ht="31.15" customHeight="1" x14ac:dyDescent="0.25">
      <c r="A189" s="271"/>
      <c r="B189" s="163"/>
      <c r="C189" s="1122" t="s">
        <v>1197</v>
      </c>
      <c r="D189" s="718"/>
      <c r="E189" s="718"/>
      <c r="F189" s="718"/>
      <c r="G189" s="718"/>
      <c r="H189" s="718"/>
      <c r="I189" s="701"/>
      <c r="J189" s="1123"/>
      <c r="K189" s="1124"/>
      <c r="L189" s="616"/>
      <c r="M189" s="1114"/>
      <c r="N189" s="585"/>
      <c r="O189" s="617"/>
      <c r="P189" s="617"/>
      <c r="Q189" s="617"/>
      <c r="R189" s="617"/>
      <c r="S189" s="618"/>
    </row>
    <row r="190" spans="1:19" ht="45" customHeight="1" x14ac:dyDescent="0.25">
      <c r="A190" s="168"/>
      <c r="B190" s="166"/>
      <c r="C190" s="1122" t="s">
        <v>1001</v>
      </c>
      <c r="D190" s="718"/>
      <c r="E190" s="718"/>
      <c r="F190" s="718"/>
      <c r="G190" s="718"/>
      <c r="H190" s="718"/>
      <c r="I190" s="701"/>
      <c r="J190" s="1125"/>
      <c r="K190" s="1126"/>
      <c r="L190" s="1113"/>
      <c r="M190" s="1115"/>
      <c r="N190" s="622"/>
      <c r="O190" s="623"/>
      <c r="P190" s="623"/>
      <c r="Q190" s="623"/>
      <c r="R190" s="623"/>
      <c r="S190" s="624"/>
    </row>
    <row r="191" spans="1:19" ht="32.1" customHeight="1" x14ac:dyDescent="0.25">
      <c r="A191" s="266" t="s">
        <v>194</v>
      </c>
      <c r="B191" s="161"/>
      <c r="C191" s="615" t="s">
        <v>1002</v>
      </c>
      <c r="D191" s="615"/>
      <c r="E191" s="615"/>
      <c r="F191" s="615"/>
      <c r="G191" s="615"/>
      <c r="H191" s="615"/>
      <c r="I191" s="615"/>
      <c r="J191" s="615"/>
      <c r="K191" s="615"/>
      <c r="L191" s="581" t="s">
        <v>106</v>
      </c>
      <c r="M191" s="581" t="str">
        <f>IF(AND(I192="",I193=""),"Not Met",(IF(AND(I192="",I193="Yes"),"Not Met",IF(AND(I192="",I193="No"),"Not Met",IF(AND(I192="",I193="Not Applicable"),"Not Met",IF(AND(I192="Yes",I193=""),"Not Met",(IF(AND(I192="Yes",I193="Yes"),"In Compliance",IF(AND(I192="Yes",I193="No"),"Not Met",IF(AND(I192="Yes",I193="Not Applicable"),"Review response to 3.3.2(b)",IF(AND(I192="No",I193=""),"In Compliance",(IF(AND(I192="No",I193="Yes"),"Review response to 3.3.2(b)",IF(AND(I192="No",I193="No"),"Review response to 3.3.2(b)",IF(AND(I192="No",I193="Not Applicable"),"In Compliance","")))))))))))))))</f>
        <v>Not Met</v>
      </c>
      <c r="N191" s="585"/>
      <c r="O191" s="586"/>
      <c r="P191" s="586"/>
      <c r="Q191" s="586"/>
      <c r="R191" s="586"/>
      <c r="S191" s="587"/>
    </row>
    <row r="192" spans="1:19" ht="32.450000000000003" customHeight="1" x14ac:dyDescent="0.25">
      <c r="A192" s="271"/>
      <c r="B192" s="163"/>
      <c r="C192" s="1122" t="s">
        <v>1004</v>
      </c>
      <c r="D192" s="718"/>
      <c r="E192" s="718"/>
      <c r="F192" s="718"/>
      <c r="G192" s="718"/>
      <c r="H192" s="718"/>
      <c r="I192" s="701"/>
      <c r="J192" s="698"/>
      <c r="K192" s="699"/>
      <c r="L192" s="616"/>
      <c r="M192" s="1114"/>
      <c r="N192" s="1119"/>
      <c r="O192" s="1120"/>
      <c r="P192" s="1120"/>
      <c r="Q192" s="1120"/>
      <c r="R192" s="1120"/>
      <c r="S192" s="1121"/>
    </row>
    <row r="193" spans="1:19" ht="31.15" customHeight="1" x14ac:dyDescent="0.25">
      <c r="A193" s="168"/>
      <c r="B193" s="166"/>
      <c r="C193" s="1122" t="s">
        <v>1198</v>
      </c>
      <c r="D193" s="718"/>
      <c r="E193" s="718"/>
      <c r="F193" s="718"/>
      <c r="G193" s="718"/>
      <c r="H193" s="718"/>
      <c r="I193" s="762"/>
      <c r="J193" s="698"/>
      <c r="K193" s="699"/>
      <c r="L193" s="582"/>
      <c r="M193" s="1115"/>
      <c r="N193" s="588"/>
      <c r="O193" s="589"/>
      <c r="P193" s="589"/>
      <c r="Q193" s="589"/>
      <c r="R193" s="589"/>
      <c r="S193" s="590"/>
    </row>
    <row r="194" spans="1:19" ht="17.25" customHeight="1" x14ac:dyDescent="0.25">
      <c r="A194" s="169" t="s">
        <v>195</v>
      </c>
      <c r="B194" s="170"/>
      <c r="C194" s="643" t="s">
        <v>1215</v>
      </c>
      <c r="D194" s="615"/>
      <c r="E194" s="615"/>
      <c r="F194" s="615"/>
      <c r="G194" s="615"/>
      <c r="H194" s="615"/>
      <c r="I194" s="615"/>
      <c r="J194" s="615"/>
      <c r="K194" s="615"/>
      <c r="L194" s="118">
        <v>2</v>
      </c>
      <c r="M194" s="212"/>
      <c r="N194" s="640"/>
      <c r="O194" s="641"/>
      <c r="P194" s="641"/>
      <c r="Q194" s="641"/>
      <c r="R194" s="641"/>
      <c r="S194" s="642"/>
    </row>
    <row r="195" spans="1:19" ht="18.75" customHeight="1" x14ac:dyDescent="0.25">
      <c r="A195" s="169" t="s">
        <v>196</v>
      </c>
      <c r="B195" s="170"/>
      <c r="C195" s="643" t="s">
        <v>1216</v>
      </c>
      <c r="D195" s="615"/>
      <c r="E195" s="615"/>
      <c r="F195" s="615"/>
      <c r="G195" s="615"/>
      <c r="H195" s="615"/>
      <c r="I195" s="615"/>
      <c r="J195" s="615"/>
      <c r="K195" s="615"/>
      <c r="L195" s="118">
        <v>1</v>
      </c>
      <c r="M195" s="212"/>
      <c r="N195" s="640"/>
      <c r="O195" s="641"/>
      <c r="P195" s="641"/>
      <c r="Q195" s="641"/>
      <c r="R195" s="641"/>
      <c r="S195" s="642"/>
    </row>
    <row r="196" spans="1:19" ht="77.45" customHeight="1" x14ac:dyDescent="0.25">
      <c r="A196" s="266" t="s">
        <v>197</v>
      </c>
      <c r="B196" s="161"/>
      <c r="C196" s="1127" t="s">
        <v>954</v>
      </c>
      <c r="D196" s="1127"/>
      <c r="E196" s="1127"/>
      <c r="F196" s="1127"/>
      <c r="G196" s="1127"/>
      <c r="H196" s="1127"/>
      <c r="I196" s="1127"/>
      <c r="J196" s="1128"/>
      <c r="K196" s="1128"/>
      <c r="L196" s="171"/>
      <c r="M196" s="172"/>
      <c r="N196" s="585"/>
      <c r="O196" s="617"/>
      <c r="P196" s="617"/>
      <c r="Q196" s="617"/>
      <c r="R196" s="617"/>
      <c r="S196" s="618"/>
    </row>
    <row r="197" spans="1:19" ht="43.15" customHeight="1" x14ac:dyDescent="0.25">
      <c r="A197" s="271"/>
      <c r="B197" s="163"/>
      <c r="C197" s="628" t="s">
        <v>1217</v>
      </c>
      <c r="D197" s="1129"/>
      <c r="E197" s="1129"/>
      <c r="F197" s="1129"/>
      <c r="G197" s="1129"/>
      <c r="H197" s="1129"/>
      <c r="I197" s="1130"/>
      <c r="J197" s="553"/>
      <c r="K197" s="554"/>
      <c r="L197" s="581" t="s">
        <v>957</v>
      </c>
      <c r="M197" s="789">
        <f>IF(AND(J197="Yes",J198="Yes"),2,0)</f>
        <v>0</v>
      </c>
      <c r="N197" s="619"/>
      <c r="O197" s="620"/>
      <c r="P197" s="620"/>
      <c r="Q197" s="620"/>
      <c r="R197" s="620"/>
      <c r="S197" s="621"/>
    </row>
    <row r="198" spans="1:19" ht="61.5" customHeight="1" x14ac:dyDescent="0.25">
      <c r="A198" s="271"/>
      <c r="B198" s="163"/>
      <c r="C198" s="717" t="s">
        <v>956</v>
      </c>
      <c r="D198" s="718"/>
      <c r="E198" s="718"/>
      <c r="F198" s="718"/>
      <c r="G198" s="718"/>
      <c r="H198" s="718"/>
      <c r="I198" s="718"/>
      <c r="J198" s="553"/>
      <c r="K198" s="554"/>
      <c r="L198" s="667"/>
      <c r="M198" s="1131"/>
      <c r="N198" s="619"/>
      <c r="O198" s="620"/>
      <c r="P198" s="620"/>
      <c r="Q198" s="620"/>
      <c r="R198" s="620"/>
      <c r="S198" s="621"/>
    </row>
    <row r="199" spans="1:19" ht="74.45" customHeight="1" x14ac:dyDescent="0.25">
      <c r="A199" s="271"/>
      <c r="B199" s="163"/>
      <c r="C199" s="717" t="s">
        <v>1381</v>
      </c>
      <c r="D199" s="718"/>
      <c r="E199" s="718"/>
      <c r="F199" s="718"/>
      <c r="G199" s="718"/>
      <c r="H199" s="718"/>
      <c r="I199" s="718"/>
      <c r="J199" s="1133"/>
      <c r="K199" s="1134"/>
      <c r="L199" s="118">
        <v>1</v>
      </c>
      <c r="M199" s="173" t="str">
        <f>IF(AND(J199&gt;=8,M197=2),1,"")</f>
        <v/>
      </c>
      <c r="N199" s="619"/>
      <c r="O199" s="620"/>
      <c r="P199" s="620"/>
      <c r="Q199" s="620"/>
      <c r="R199" s="620"/>
      <c r="S199" s="621"/>
    </row>
    <row r="200" spans="1:19" ht="76.5" customHeight="1" x14ac:dyDescent="0.25">
      <c r="A200" s="169" t="s">
        <v>198</v>
      </c>
      <c r="B200" s="170"/>
      <c r="C200" s="1135" t="s">
        <v>1051</v>
      </c>
      <c r="D200" s="1136"/>
      <c r="E200" s="1136"/>
      <c r="F200" s="1136"/>
      <c r="G200" s="1136"/>
      <c r="H200" s="1136"/>
      <c r="I200" s="1136"/>
      <c r="J200" s="1136"/>
      <c r="K200" s="1137"/>
      <c r="L200" s="270">
        <v>2</v>
      </c>
      <c r="M200" s="11"/>
      <c r="N200" s="640"/>
      <c r="O200" s="1101"/>
      <c r="P200" s="1101"/>
      <c r="Q200" s="1101"/>
      <c r="R200" s="1101"/>
      <c r="S200" s="1102"/>
    </row>
    <row r="201" spans="1:19" ht="60" customHeight="1" x14ac:dyDescent="0.25">
      <c r="A201" s="169" t="s">
        <v>911</v>
      </c>
      <c r="B201" s="170"/>
      <c r="C201" s="761" t="s">
        <v>891</v>
      </c>
      <c r="D201" s="695"/>
      <c r="E201" s="695"/>
      <c r="F201" s="695"/>
      <c r="G201" s="695"/>
      <c r="H201" s="695"/>
      <c r="I201" s="762"/>
      <c r="J201" s="698"/>
      <c r="K201" s="699"/>
      <c r="L201" s="118" t="s">
        <v>106</v>
      </c>
      <c r="M201" s="227" t="str">
        <f>IF(OR(I201="Yes",I201="Not Applicable"),"In Compliance","Not Met")</f>
        <v>Not Met</v>
      </c>
      <c r="N201" s="1132"/>
      <c r="O201" s="1132"/>
      <c r="P201" s="1132"/>
      <c r="Q201" s="1132"/>
      <c r="R201" s="1132"/>
      <c r="S201" s="1132"/>
    </row>
    <row r="202" spans="1:19" ht="18" customHeight="1" x14ac:dyDescent="0.25">
      <c r="A202" s="1091" t="s">
        <v>199</v>
      </c>
      <c r="B202" s="1091"/>
      <c r="C202" s="1091"/>
      <c r="D202" s="1091"/>
      <c r="E202" s="1091"/>
      <c r="F202" s="1091"/>
      <c r="G202" s="1091"/>
      <c r="H202" s="1091"/>
      <c r="I202" s="1091"/>
      <c r="J202" s="1091"/>
      <c r="K202" s="1091"/>
      <c r="L202" s="1091"/>
      <c r="M202" s="1091"/>
      <c r="N202" s="1091"/>
      <c r="O202" s="1091"/>
      <c r="P202" s="1091"/>
      <c r="Q202" s="1091"/>
      <c r="R202" s="1091"/>
      <c r="S202" s="1091"/>
    </row>
    <row r="203" spans="1:19" ht="75.599999999999994" customHeight="1" x14ac:dyDescent="0.25">
      <c r="A203" s="169" t="s">
        <v>200</v>
      </c>
      <c r="B203" s="174"/>
      <c r="C203" s="761" t="s">
        <v>1199</v>
      </c>
      <c r="D203" s="695"/>
      <c r="E203" s="695"/>
      <c r="F203" s="695"/>
      <c r="G203" s="695"/>
      <c r="H203" s="696"/>
      <c r="I203" s="762"/>
      <c r="J203" s="698"/>
      <c r="K203" s="699"/>
      <c r="L203" s="118" t="s">
        <v>106</v>
      </c>
      <c r="M203" s="227" t="str">
        <f>IF(OR(I203="Yes",I203="Not Applicable"),"In Compliance","Not Met")</f>
        <v>Not Met</v>
      </c>
      <c r="N203" s="1132"/>
      <c r="O203" s="1132"/>
      <c r="P203" s="1132"/>
      <c r="Q203" s="1132"/>
      <c r="R203" s="1132"/>
      <c r="S203" s="1132"/>
    </row>
    <row r="204" spans="1:19" ht="45.6" customHeight="1" x14ac:dyDescent="0.25">
      <c r="A204" s="169" t="s">
        <v>201</v>
      </c>
      <c r="B204" s="174"/>
      <c r="C204" s="761" t="s">
        <v>1021</v>
      </c>
      <c r="D204" s="695"/>
      <c r="E204" s="695"/>
      <c r="F204" s="695"/>
      <c r="G204" s="695"/>
      <c r="H204" s="696"/>
      <c r="I204" s="762"/>
      <c r="J204" s="698"/>
      <c r="K204" s="699"/>
      <c r="L204" s="118" t="s">
        <v>106</v>
      </c>
      <c r="M204" s="227" t="str">
        <f>IF(OR(I204="Yes",I204="Not Applicable"),"In Compliance","Not Met")</f>
        <v>Not Met</v>
      </c>
      <c r="N204" s="1132"/>
      <c r="O204" s="1132"/>
      <c r="P204" s="1132"/>
      <c r="Q204" s="1132"/>
      <c r="R204" s="1132"/>
      <c r="S204" s="1132"/>
    </row>
    <row r="205" spans="1:19" ht="45.6" customHeight="1" x14ac:dyDescent="0.25">
      <c r="A205" s="169" t="s">
        <v>202</v>
      </c>
      <c r="B205" s="174"/>
      <c r="C205" s="761" t="s">
        <v>203</v>
      </c>
      <c r="D205" s="695"/>
      <c r="E205" s="695"/>
      <c r="F205" s="695"/>
      <c r="G205" s="695"/>
      <c r="H205" s="696"/>
      <c r="I205" s="762"/>
      <c r="J205" s="698"/>
      <c r="K205" s="699"/>
      <c r="L205" s="118" t="s">
        <v>106</v>
      </c>
      <c r="M205" s="227" t="str">
        <f>IF(OR(I205="Yes",I205="Not Applicable"),"In Compliance","Not Met")</f>
        <v>Not Met</v>
      </c>
      <c r="N205" s="640"/>
      <c r="O205" s="641"/>
      <c r="P205" s="641"/>
      <c r="Q205" s="641"/>
      <c r="R205" s="641"/>
      <c r="S205" s="642"/>
    </row>
    <row r="206" spans="1:19" ht="48.75" customHeight="1" x14ac:dyDescent="0.25">
      <c r="A206" s="169" t="s">
        <v>204</v>
      </c>
      <c r="B206" s="174"/>
      <c r="C206" s="761" t="s">
        <v>1022</v>
      </c>
      <c r="D206" s="695"/>
      <c r="E206" s="695"/>
      <c r="F206" s="695"/>
      <c r="G206" s="695"/>
      <c r="H206" s="696"/>
      <c r="I206" s="762"/>
      <c r="J206" s="698"/>
      <c r="K206" s="699"/>
      <c r="L206" s="118" t="s">
        <v>106</v>
      </c>
      <c r="M206" s="227" t="str">
        <f>IF(OR(I206="Yes",I206="Not Applicable"),"In Compliance","Not Met")</f>
        <v>Not Met</v>
      </c>
      <c r="N206" s="640"/>
      <c r="O206" s="641"/>
      <c r="P206" s="641"/>
      <c r="Q206" s="641"/>
      <c r="R206" s="641"/>
      <c r="S206" s="642"/>
    </row>
    <row r="207" spans="1:19" ht="18" customHeight="1" x14ac:dyDescent="0.25">
      <c r="A207" s="169" t="s">
        <v>205</v>
      </c>
      <c r="B207" s="174"/>
      <c r="C207" s="643" t="s">
        <v>1353</v>
      </c>
      <c r="D207" s="643"/>
      <c r="E207" s="643"/>
      <c r="F207" s="643"/>
      <c r="G207" s="643"/>
      <c r="H207" s="643"/>
      <c r="I207" s="643"/>
      <c r="J207" s="643"/>
      <c r="K207" s="643"/>
      <c r="L207" s="118">
        <v>2</v>
      </c>
      <c r="M207" s="12"/>
      <c r="N207" s="640"/>
      <c r="O207" s="641"/>
      <c r="P207" s="641"/>
      <c r="Q207" s="641"/>
      <c r="R207" s="641"/>
      <c r="S207" s="642"/>
    </row>
    <row r="208" spans="1:19" ht="18" customHeight="1" x14ac:dyDescent="0.25">
      <c r="A208" s="1091" t="s">
        <v>206</v>
      </c>
      <c r="B208" s="1091"/>
      <c r="C208" s="1091"/>
      <c r="D208" s="1091"/>
      <c r="E208" s="1091"/>
      <c r="F208" s="1091"/>
      <c r="G208" s="1091"/>
      <c r="H208" s="1091"/>
      <c r="I208" s="1091"/>
      <c r="J208" s="1091"/>
      <c r="K208" s="1091"/>
      <c r="L208" s="1091"/>
      <c r="M208" s="1091"/>
      <c r="N208" s="1091"/>
      <c r="O208" s="1091"/>
      <c r="P208" s="1091"/>
      <c r="Q208" s="1091"/>
      <c r="R208" s="1091"/>
      <c r="S208" s="1091"/>
    </row>
    <row r="209" spans="1:27" ht="58.9" customHeight="1" x14ac:dyDescent="0.25">
      <c r="A209" s="169" t="s">
        <v>207</v>
      </c>
      <c r="B209" s="174"/>
      <c r="C209" s="615" t="s">
        <v>1354</v>
      </c>
      <c r="D209" s="615"/>
      <c r="E209" s="615"/>
      <c r="F209" s="615"/>
      <c r="G209" s="615"/>
      <c r="H209" s="615"/>
      <c r="I209" s="615"/>
      <c r="J209" s="615"/>
      <c r="K209" s="615"/>
      <c r="L209" s="118">
        <v>1</v>
      </c>
      <c r="M209" s="212"/>
      <c r="N209" s="769"/>
      <c r="O209" s="770"/>
      <c r="P209" s="770"/>
      <c r="Q209" s="770"/>
      <c r="R209" s="770"/>
      <c r="S209" s="771"/>
    </row>
    <row r="210" spans="1:27" ht="19.5" customHeight="1" x14ac:dyDescent="0.25">
      <c r="A210" s="169" t="s">
        <v>208</v>
      </c>
      <c r="B210" s="174"/>
      <c r="C210" s="643" t="s">
        <v>209</v>
      </c>
      <c r="D210" s="643"/>
      <c r="E210" s="643"/>
      <c r="F210" s="643"/>
      <c r="G210" s="643"/>
      <c r="H210" s="643"/>
      <c r="I210" s="643"/>
      <c r="J210" s="643"/>
      <c r="K210" s="643"/>
      <c r="L210" s="118">
        <v>2</v>
      </c>
      <c r="M210" s="12"/>
      <c r="N210" s="1132"/>
      <c r="O210" s="1132"/>
      <c r="P210" s="1132"/>
      <c r="Q210" s="1132"/>
      <c r="R210" s="1132"/>
      <c r="S210" s="1132"/>
    </row>
    <row r="211" spans="1:27" ht="18" customHeight="1" x14ac:dyDescent="0.25">
      <c r="A211" s="1091" t="s">
        <v>210</v>
      </c>
      <c r="B211" s="1091"/>
      <c r="C211" s="1091"/>
      <c r="D211" s="1091"/>
      <c r="E211" s="1091"/>
      <c r="F211" s="1091"/>
      <c r="G211" s="1091"/>
      <c r="H211" s="1091"/>
      <c r="I211" s="1091"/>
      <c r="J211" s="1091"/>
      <c r="K211" s="1091"/>
      <c r="L211" s="1091"/>
      <c r="M211" s="1091"/>
      <c r="N211" s="1091"/>
      <c r="O211" s="1091"/>
      <c r="P211" s="1091"/>
      <c r="Q211" s="1091"/>
      <c r="R211" s="1091"/>
      <c r="S211" s="1091"/>
    </row>
    <row r="212" spans="1:27" ht="17.45" customHeight="1" x14ac:dyDescent="0.25">
      <c r="A212" s="169" t="s">
        <v>211</v>
      </c>
      <c r="B212" s="174"/>
      <c r="C212" s="761" t="s">
        <v>212</v>
      </c>
      <c r="D212" s="695"/>
      <c r="E212" s="695"/>
      <c r="F212" s="695"/>
      <c r="G212" s="695"/>
      <c r="H212" s="696"/>
      <c r="I212" s="701"/>
      <c r="J212" s="1123"/>
      <c r="K212" s="1124"/>
      <c r="L212" s="118" t="s">
        <v>106</v>
      </c>
      <c r="M212" s="235" t="str">
        <f>IF(OR(I212="Yes",I212="Not Applicable"),"In Compliance","Not Met")</f>
        <v>Not Met</v>
      </c>
      <c r="N212" s="1132"/>
      <c r="O212" s="1132"/>
      <c r="P212" s="1132"/>
      <c r="Q212" s="1132"/>
      <c r="R212" s="1132"/>
      <c r="S212" s="1132"/>
    </row>
    <row r="213" spans="1:27" ht="30" customHeight="1" x14ac:dyDescent="0.25">
      <c r="A213" s="169" t="s">
        <v>213</v>
      </c>
      <c r="B213" s="174"/>
      <c r="C213" s="615" t="s">
        <v>892</v>
      </c>
      <c r="D213" s="615"/>
      <c r="E213" s="615"/>
      <c r="F213" s="615"/>
      <c r="G213" s="615"/>
      <c r="H213" s="615"/>
      <c r="I213" s="615"/>
      <c r="J213" s="615"/>
      <c r="K213" s="615"/>
      <c r="L213" s="118">
        <v>1</v>
      </c>
      <c r="M213" s="212"/>
      <c r="N213" s="769"/>
      <c r="O213" s="770"/>
      <c r="P213" s="770"/>
      <c r="Q213" s="770"/>
      <c r="R213" s="770"/>
      <c r="S213" s="771"/>
    </row>
    <row r="214" spans="1:27" ht="32.1" customHeight="1" x14ac:dyDescent="0.25">
      <c r="A214" s="169" t="s">
        <v>214</v>
      </c>
      <c r="B214" s="174"/>
      <c r="C214" s="694" t="s">
        <v>1128</v>
      </c>
      <c r="D214" s="695"/>
      <c r="E214" s="695"/>
      <c r="F214" s="695"/>
      <c r="G214" s="695"/>
      <c r="H214" s="695"/>
      <c r="I214" s="695"/>
      <c r="J214" s="695"/>
      <c r="K214" s="696"/>
      <c r="L214" s="733" t="str">
        <f>IF(County="","Enter County on tab '3 Project Information'",IF(OR(County="Bernalillo",County="Colfax",County="Mora",County="Rio Arriba",County="San Miguel",County="Santa Fe",County="Taos",County="Los Alamos"),"Radon Zone 1 - High Risk","Radon Zone 2 - Moderate Risk"))</f>
        <v>Enter County on tab '3 Project Information'</v>
      </c>
      <c r="M214" s="827"/>
      <c r="N214" s="640"/>
      <c r="O214" s="641"/>
      <c r="P214" s="641"/>
      <c r="Q214" s="641"/>
      <c r="R214" s="641"/>
      <c r="S214" s="642"/>
      <c r="T214" s="243"/>
      <c r="U214" s="243"/>
      <c r="V214" s="243"/>
      <c r="W214" s="243"/>
      <c r="X214" s="243"/>
      <c r="Y214" s="243"/>
      <c r="Z214" s="243"/>
      <c r="AA214" s="244"/>
    </row>
    <row r="215" spans="1:27" ht="149.44999999999999" customHeight="1" x14ac:dyDescent="0.25">
      <c r="A215" s="169"/>
      <c r="B215" s="174"/>
      <c r="C215" s="824" t="s">
        <v>1398</v>
      </c>
      <c r="D215" s="718"/>
      <c r="E215" s="718"/>
      <c r="F215" s="718"/>
      <c r="G215" s="718"/>
      <c r="H215" s="718"/>
      <c r="I215" s="762"/>
      <c r="J215" s="698"/>
      <c r="K215" s="699"/>
      <c r="L215" s="227" t="s">
        <v>1323</v>
      </c>
      <c r="M215" s="235" t="str">
        <f>IF(I215="In Compliance, Radon Zone 1","In Compliance",IF(I215="Not Applicable, Radon Zone 2","In Compliance","Not Met"))</f>
        <v>Not Met</v>
      </c>
      <c r="N215" s="585"/>
      <c r="O215" s="617"/>
      <c r="P215" s="617"/>
      <c r="Q215" s="617"/>
      <c r="R215" s="617"/>
      <c r="S215" s="618"/>
      <c r="T215" s="278"/>
      <c r="U215" s="278"/>
      <c r="V215" s="278"/>
      <c r="W215" s="278"/>
      <c r="X215" s="278"/>
      <c r="Y215" s="278"/>
      <c r="Z215" s="278"/>
      <c r="AA215" s="279"/>
    </row>
    <row r="216" spans="1:27" ht="33.6" customHeight="1" x14ac:dyDescent="0.25">
      <c r="A216" s="169" t="s">
        <v>215</v>
      </c>
      <c r="B216" s="174"/>
      <c r="C216" s="824" t="s">
        <v>1129</v>
      </c>
      <c r="D216" s="825"/>
      <c r="E216" s="825"/>
      <c r="F216" s="825"/>
      <c r="G216" s="825"/>
      <c r="H216" s="825"/>
      <c r="I216" s="825"/>
      <c r="J216" s="825"/>
      <c r="K216" s="826"/>
      <c r="L216" s="270">
        <v>1</v>
      </c>
      <c r="M216" s="248"/>
      <c r="N216" s="588"/>
      <c r="O216" s="589"/>
      <c r="P216" s="589"/>
      <c r="Q216" s="589"/>
      <c r="R216" s="589"/>
      <c r="S216" s="590"/>
      <c r="T216" s="243"/>
      <c r="U216" s="243"/>
      <c r="V216" s="243"/>
      <c r="W216" s="243"/>
      <c r="X216" s="243"/>
      <c r="Y216" s="243"/>
      <c r="Z216" s="243"/>
      <c r="AA216" s="244"/>
    </row>
    <row r="217" spans="1:27" ht="18" customHeight="1" x14ac:dyDescent="0.25">
      <c r="A217" s="766" t="s">
        <v>216</v>
      </c>
      <c r="B217" s="767"/>
      <c r="C217" s="767"/>
      <c r="D217" s="767"/>
      <c r="E217" s="767"/>
      <c r="F217" s="767"/>
      <c r="G217" s="767"/>
      <c r="H217" s="767"/>
      <c r="I217" s="767"/>
      <c r="J217" s="767"/>
      <c r="K217" s="767"/>
      <c r="L217" s="767"/>
      <c r="M217" s="767"/>
      <c r="N217" s="767"/>
      <c r="O217" s="767"/>
      <c r="P217" s="767"/>
      <c r="Q217" s="767"/>
      <c r="R217" s="767"/>
      <c r="S217" s="768"/>
    </row>
    <row r="218" spans="1:27" ht="90" customHeight="1" x14ac:dyDescent="0.25">
      <c r="A218" s="169" t="s">
        <v>217</v>
      </c>
      <c r="B218" s="174"/>
      <c r="C218" s="761" t="s">
        <v>972</v>
      </c>
      <c r="D218" s="695"/>
      <c r="E218" s="695"/>
      <c r="F218" s="695"/>
      <c r="G218" s="695"/>
      <c r="H218" s="696"/>
      <c r="I218" s="762"/>
      <c r="J218" s="698"/>
      <c r="K218" s="699"/>
      <c r="L218" s="118" t="s">
        <v>106</v>
      </c>
      <c r="M218" s="227" t="str">
        <f>IF(OR(I218="In Compliance",I218="Not Applicable"),"In Compliance","Not Met")</f>
        <v>Not Met</v>
      </c>
      <c r="N218" s="769"/>
      <c r="O218" s="770"/>
      <c r="P218" s="770"/>
      <c r="Q218" s="770"/>
      <c r="R218" s="770"/>
      <c r="S218" s="771"/>
    </row>
    <row r="219" spans="1:27" ht="163.9" customHeight="1" x14ac:dyDescent="0.25">
      <c r="A219" s="266" t="s">
        <v>218</v>
      </c>
      <c r="B219" s="161"/>
      <c r="C219" s="822" t="s">
        <v>1055</v>
      </c>
      <c r="D219" s="822"/>
      <c r="E219" s="822"/>
      <c r="F219" s="822"/>
      <c r="G219" s="822"/>
      <c r="H219" s="822"/>
      <c r="I219" s="822"/>
      <c r="J219" s="822"/>
      <c r="K219" s="822"/>
      <c r="L219" s="175"/>
      <c r="M219" s="176" t="s">
        <v>219</v>
      </c>
      <c r="N219" s="823" t="s">
        <v>893</v>
      </c>
      <c r="O219" s="823"/>
      <c r="P219" s="823"/>
      <c r="Q219" s="823"/>
      <c r="R219" s="823"/>
      <c r="S219" s="823"/>
    </row>
    <row r="220" spans="1:27" ht="16.5" customHeight="1" x14ac:dyDescent="0.25">
      <c r="A220" s="271"/>
      <c r="B220" s="177"/>
      <c r="C220" s="811" t="s">
        <v>220</v>
      </c>
      <c r="D220" s="811"/>
      <c r="E220" s="811"/>
      <c r="F220" s="811"/>
      <c r="G220" s="811"/>
      <c r="H220" s="811"/>
      <c r="I220" s="811"/>
      <c r="J220" s="811"/>
      <c r="K220" s="811"/>
      <c r="L220" s="178">
        <v>0.25</v>
      </c>
      <c r="M220" s="12"/>
      <c r="N220" s="816"/>
      <c r="O220" s="817"/>
      <c r="P220" s="817"/>
      <c r="Q220" s="817"/>
      <c r="R220" s="817"/>
      <c r="S220" s="818"/>
    </row>
    <row r="221" spans="1:27" ht="18" customHeight="1" x14ac:dyDescent="0.25">
      <c r="A221" s="271"/>
      <c r="B221" s="177"/>
      <c r="C221" s="811" t="s">
        <v>221</v>
      </c>
      <c r="D221" s="811"/>
      <c r="E221" s="811"/>
      <c r="F221" s="811"/>
      <c r="G221" s="811"/>
      <c r="H221" s="811"/>
      <c r="I221" s="811"/>
      <c r="J221" s="811"/>
      <c r="K221" s="811"/>
      <c r="L221" s="178">
        <v>0.25</v>
      </c>
      <c r="M221" s="12"/>
      <c r="N221" s="797"/>
      <c r="O221" s="798"/>
      <c r="P221" s="798"/>
      <c r="Q221" s="798"/>
      <c r="R221" s="798"/>
      <c r="S221" s="799"/>
    </row>
    <row r="222" spans="1:27" ht="17.25" customHeight="1" x14ac:dyDescent="0.25">
      <c r="A222" s="271"/>
      <c r="B222" s="177"/>
      <c r="C222" s="811" t="s">
        <v>222</v>
      </c>
      <c r="D222" s="811"/>
      <c r="E222" s="811"/>
      <c r="F222" s="811"/>
      <c r="G222" s="811"/>
      <c r="H222" s="811"/>
      <c r="I222" s="811"/>
      <c r="J222" s="811"/>
      <c r="K222" s="811"/>
      <c r="L222" s="178">
        <v>0.25</v>
      </c>
      <c r="M222" s="12"/>
      <c r="N222" s="797"/>
      <c r="O222" s="798"/>
      <c r="P222" s="798"/>
      <c r="Q222" s="798"/>
      <c r="R222" s="798"/>
      <c r="S222" s="799"/>
    </row>
    <row r="223" spans="1:27" ht="17.25" customHeight="1" x14ac:dyDescent="0.25">
      <c r="A223" s="168"/>
      <c r="B223" s="179"/>
      <c r="C223" s="815" t="s">
        <v>223</v>
      </c>
      <c r="D223" s="815"/>
      <c r="E223" s="815"/>
      <c r="F223" s="815"/>
      <c r="G223" s="815"/>
      <c r="H223" s="815"/>
      <c r="I223" s="815"/>
      <c r="J223" s="815"/>
      <c r="K223" s="815"/>
      <c r="L223" s="180">
        <v>0.25</v>
      </c>
      <c r="M223" s="267"/>
      <c r="N223" s="819"/>
      <c r="O223" s="820"/>
      <c r="P223" s="820"/>
      <c r="Q223" s="820"/>
      <c r="R223" s="820"/>
      <c r="S223" s="821"/>
    </row>
    <row r="224" spans="1:27" ht="87.75" customHeight="1" x14ac:dyDescent="0.25">
      <c r="A224" s="266" t="s">
        <v>224</v>
      </c>
      <c r="B224" s="181"/>
      <c r="C224" s="812" t="s">
        <v>960</v>
      </c>
      <c r="D224" s="813"/>
      <c r="E224" s="813"/>
      <c r="F224" s="813"/>
      <c r="G224" s="813"/>
      <c r="H224" s="813"/>
      <c r="I224" s="813"/>
      <c r="J224" s="813"/>
      <c r="K224" s="814"/>
      <c r="L224" s="182"/>
      <c r="M224" s="176" t="s">
        <v>219</v>
      </c>
      <c r="N224" s="748"/>
      <c r="O224" s="749"/>
      <c r="P224" s="749"/>
      <c r="Q224" s="749"/>
      <c r="R224" s="749"/>
      <c r="S224" s="750"/>
    </row>
    <row r="225" spans="1:19" ht="32.25" customHeight="1" x14ac:dyDescent="0.25">
      <c r="A225" s="271"/>
      <c r="B225" s="177"/>
      <c r="C225" s="811" t="s">
        <v>225</v>
      </c>
      <c r="D225" s="811"/>
      <c r="E225" s="811"/>
      <c r="F225" s="811"/>
      <c r="G225" s="811"/>
      <c r="H225" s="811"/>
      <c r="I225" s="811"/>
      <c r="J225" s="811"/>
      <c r="K225" s="811"/>
      <c r="L225" s="178">
        <v>0.5</v>
      </c>
      <c r="M225" s="12"/>
      <c r="N225" s="797"/>
      <c r="O225" s="798"/>
      <c r="P225" s="798"/>
      <c r="Q225" s="798"/>
      <c r="R225" s="798"/>
      <c r="S225" s="799"/>
    </row>
    <row r="226" spans="1:19" ht="36.75" customHeight="1" x14ac:dyDescent="0.25">
      <c r="A226" s="168"/>
      <c r="B226" s="179"/>
      <c r="C226" s="610" t="s">
        <v>961</v>
      </c>
      <c r="D226" s="610"/>
      <c r="E226" s="610"/>
      <c r="F226" s="610"/>
      <c r="G226" s="610"/>
      <c r="H226" s="610"/>
      <c r="I226" s="610"/>
      <c r="J226" s="610"/>
      <c r="K226" s="610"/>
      <c r="L226" s="178">
        <v>0.5</v>
      </c>
      <c r="M226" s="14"/>
      <c r="N226" s="819"/>
      <c r="O226" s="820"/>
      <c r="P226" s="820"/>
      <c r="Q226" s="820"/>
      <c r="R226" s="820"/>
      <c r="S226" s="821"/>
    </row>
    <row r="227" spans="1:19" ht="17.649999999999999" customHeight="1" x14ac:dyDescent="0.25">
      <c r="A227" s="266" t="s">
        <v>226</v>
      </c>
      <c r="B227" s="161"/>
      <c r="C227" s="639" t="s">
        <v>227</v>
      </c>
      <c r="D227" s="639"/>
      <c r="E227" s="639"/>
      <c r="F227" s="639"/>
      <c r="G227" s="639"/>
      <c r="H227" s="639"/>
      <c r="I227" s="639"/>
      <c r="J227" s="639"/>
      <c r="K227" s="639"/>
      <c r="L227" s="140"/>
      <c r="N227" s="1139" t="s">
        <v>894</v>
      </c>
      <c r="O227" s="1139"/>
      <c r="P227" s="1139"/>
      <c r="Q227" s="1139"/>
      <c r="R227" s="1139"/>
      <c r="S227" s="1139"/>
    </row>
    <row r="228" spans="1:19" ht="31.9" customHeight="1" x14ac:dyDescent="0.25">
      <c r="A228" s="271"/>
      <c r="B228" s="177"/>
      <c r="C228" s="606" t="s">
        <v>1200</v>
      </c>
      <c r="D228" s="607"/>
      <c r="E228" s="607"/>
      <c r="F228" s="607"/>
      <c r="G228" s="607"/>
      <c r="H228" s="608"/>
      <c r="I228" s="701"/>
      <c r="J228" s="1123"/>
      <c r="K228" s="1124"/>
      <c r="L228" s="147" t="s">
        <v>106</v>
      </c>
      <c r="M228" s="235" t="str">
        <f>IF(I228="No","In Compliance","Not Met")</f>
        <v>Not Met</v>
      </c>
      <c r="N228" s="609"/>
      <c r="O228" s="609"/>
      <c r="P228" s="609"/>
      <c r="Q228" s="609"/>
      <c r="R228" s="609"/>
      <c r="S228" s="609"/>
    </row>
    <row r="229" spans="1:19" ht="30" customHeight="1" x14ac:dyDescent="0.25">
      <c r="A229" s="168"/>
      <c r="B229" s="179"/>
      <c r="C229" s="610" t="s">
        <v>228</v>
      </c>
      <c r="D229" s="610"/>
      <c r="E229" s="610"/>
      <c r="F229" s="610"/>
      <c r="G229" s="610"/>
      <c r="H229" s="610"/>
      <c r="I229" s="610"/>
      <c r="J229" s="610"/>
      <c r="K229" s="610"/>
      <c r="L229" s="183">
        <v>0.5</v>
      </c>
      <c r="M229" s="14"/>
      <c r="N229" s="637"/>
      <c r="O229" s="637"/>
      <c r="P229" s="637"/>
      <c r="Q229" s="637"/>
      <c r="R229" s="637"/>
      <c r="S229" s="637"/>
    </row>
    <row r="230" spans="1:19" ht="88.15" customHeight="1" x14ac:dyDescent="0.25">
      <c r="A230" s="1068" t="s">
        <v>229</v>
      </c>
      <c r="B230" s="181"/>
      <c r="C230" s="639" t="s">
        <v>925</v>
      </c>
      <c r="D230" s="639"/>
      <c r="E230" s="639"/>
      <c r="F230" s="639"/>
      <c r="G230" s="639"/>
      <c r="H230" s="639"/>
      <c r="I230" s="639"/>
      <c r="J230" s="639"/>
      <c r="K230" s="639"/>
      <c r="L230" s="139"/>
      <c r="M230" s="176" t="s">
        <v>219</v>
      </c>
      <c r="N230" s="1024"/>
      <c r="O230" s="1024"/>
      <c r="P230" s="1024"/>
      <c r="Q230" s="1024"/>
      <c r="R230" s="1024"/>
      <c r="S230" s="1024"/>
    </row>
    <row r="231" spans="1:19" ht="30" customHeight="1" x14ac:dyDescent="0.25">
      <c r="A231" s="613"/>
      <c r="B231" s="177"/>
      <c r="C231" s="606" t="s">
        <v>230</v>
      </c>
      <c r="D231" s="607"/>
      <c r="E231" s="607"/>
      <c r="F231" s="607"/>
      <c r="G231" s="607"/>
      <c r="H231" s="607"/>
      <c r="I231" s="607"/>
      <c r="J231" s="607"/>
      <c r="K231" s="608"/>
      <c r="L231" s="142">
        <v>0.5</v>
      </c>
      <c r="M231" s="1138"/>
      <c r="N231" s="619"/>
      <c r="O231" s="620"/>
      <c r="P231" s="620"/>
      <c r="Q231" s="620"/>
      <c r="R231" s="620"/>
      <c r="S231" s="621"/>
    </row>
    <row r="232" spans="1:19" ht="33" customHeight="1" x14ac:dyDescent="0.25">
      <c r="A232" s="614"/>
      <c r="B232" s="179"/>
      <c r="C232" s="606" t="s">
        <v>231</v>
      </c>
      <c r="D232" s="607"/>
      <c r="E232" s="607"/>
      <c r="F232" s="607"/>
      <c r="G232" s="607"/>
      <c r="H232" s="607"/>
      <c r="I232" s="607"/>
      <c r="J232" s="607"/>
      <c r="K232" s="608"/>
      <c r="L232" s="151">
        <v>1</v>
      </c>
      <c r="M232" s="633"/>
      <c r="N232" s="622"/>
      <c r="O232" s="623"/>
      <c r="P232" s="623"/>
      <c r="Q232" s="623"/>
      <c r="R232" s="623"/>
      <c r="S232" s="624"/>
    </row>
    <row r="233" spans="1:19" ht="89.25" customHeight="1" x14ac:dyDescent="0.25">
      <c r="A233" s="266" t="s">
        <v>232</v>
      </c>
      <c r="B233" s="181"/>
      <c r="C233" s="639" t="s">
        <v>842</v>
      </c>
      <c r="D233" s="639"/>
      <c r="E233" s="639"/>
      <c r="F233" s="639"/>
      <c r="G233" s="639"/>
      <c r="H233" s="639"/>
      <c r="I233" s="639"/>
      <c r="J233" s="639"/>
      <c r="K233" s="639"/>
      <c r="L233" s="581">
        <v>1.5</v>
      </c>
      <c r="M233" s="176" t="s">
        <v>219</v>
      </c>
      <c r="N233" s="1140" t="s">
        <v>895</v>
      </c>
      <c r="O233" s="1141"/>
      <c r="P233" s="1141"/>
      <c r="Q233" s="1141"/>
      <c r="R233" s="1141"/>
      <c r="S233" s="1142"/>
    </row>
    <row r="234" spans="1:19" ht="15" customHeight="1" x14ac:dyDescent="0.25">
      <c r="A234" s="271"/>
      <c r="B234" s="177"/>
      <c r="C234" s="811" t="s">
        <v>233</v>
      </c>
      <c r="D234" s="811"/>
      <c r="E234" s="811"/>
      <c r="F234" s="811"/>
      <c r="G234" s="811"/>
      <c r="H234" s="811"/>
      <c r="I234" s="811"/>
      <c r="J234" s="811"/>
      <c r="K234" s="811"/>
      <c r="L234" s="669"/>
      <c r="M234" s="1138"/>
      <c r="N234" s="1143"/>
      <c r="O234" s="620"/>
      <c r="P234" s="620"/>
      <c r="Q234" s="620"/>
      <c r="R234" s="620"/>
      <c r="S234" s="621"/>
    </row>
    <row r="235" spans="1:19" ht="15" customHeight="1" x14ac:dyDescent="0.25">
      <c r="A235" s="271"/>
      <c r="B235" s="177"/>
      <c r="C235" s="811" t="s">
        <v>234</v>
      </c>
      <c r="D235" s="811"/>
      <c r="E235" s="811"/>
      <c r="F235" s="811"/>
      <c r="G235" s="811"/>
      <c r="H235" s="811"/>
      <c r="I235" s="811"/>
      <c r="J235" s="811"/>
      <c r="K235" s="811"/>
      <c r="L235" s="669"/>
      <c r="M235" s="632"/>
      <c r="N235" s="619"/>
      <c r="O235" s="620"/>
      <c r="P235" s="620"/>
      <c r="Q235" s="620"/>
      <c r="R235" s="620"/>
      <c r="S235" s="621"/>
    </row>
    <row r="236" spans="1:19" ht="15" customHeight="1" x14ac:dyDescent="0.25">
      <c r="A236" s="271"/>
      <c r="B236" s="177"/>
      <c r="C236" s="811" t="s">
        <v>235</v>
      </c>
      <c r="D236" s="811"/>
      <c r="E236" s="811"/>
      <c r="F236" s="811"/>
      <c r="G236" s="811"/>
      <c r="H236" s="811"/>
      <c r="I236" s="811"/>
      <c r="J236" s="811"/>
      <c r="K236" s="811"/>
      <c r="L236" s="669"/>
      <c r="M236" s="632"/>
      <c r="N236" s="619"/>
      <c r="O236" s="620"/>
      <c r="P236" s="620"/>
      <c r="Q236" s="620"/>
      <c r="R236" s="620"/>
      <c r="S236" s="621"/>
    </row>
    <row r="237" spans="1:19" ht="15" customHeight="1" x14ac:dyDescent="0.25">
      <c r="A237" s="271"/>
      <c r="B237" s="177"/>
      <c r="C237" s="811" t="s">
        <v>236</v>
      </c>
      <c r="D237" s="811"/>
      <c r="E237" s="811"/>
      <c r="F237" s="811"/>
      <c r="G237" s="811"/>
      <c r="H237" s="811"/>
      <c r="I237" s="811"/>
      <c r="J237" s="811"/>
      <c r="K237" s="811"/>
      <c r="L237" s="669"/>
      <c r="M237" s="632"/>
      <c r="N237" s="619"/>
      <c r="O237" s="620"/>
      <c r="P237" s="620"/>
      <c r="Q237" s="620"/>
      <c r="R237" s="620"/>
      <c r="S237" s="621"/>
    </row>
    <row r="238" spans="1:19" ht="15" customHeight="1" x14ac:dyDescent="0.25">
      <c r="A238" s="271"/>
      <c r="B238" s="177"/>
      <c r="C238" s="811" t="s">
        <v>237</v>
      </c>
      <c r="D238" s="811"/>
      <c r="E238" s="811"/>
      <c r="F238" s="811"/>
      <c r="G238" s="811"/>
      <c r="H238" s="811"/>
      <c r="I238" s="811"/>
      <c r="J238" s="811"/>
      <c r="K238" s="811"/>
      <c r="L238" s="669"/>
      <c r="M238" s="632"/>
      <c r="N238" s="619"/>
      <c r="O238" s="620"/>
      <c r="P238" s="620"/>
      <c r="Q238" s="620"/>
      <c r="R238" s="620"/>
      <c r="S238" s="621"/>
    </row>
    <row r="239" spans="1:19" ht="15" customHeight="1" x14ac:dyDescent="0.25">
      <c r="A239" s="271"/>
      <c r="B239" s="177"/>
      <c r="C239" s="811" t="s">
        <v>238</v>
      </c>
      <c r="D239" s="811"/>
      <c r="E239" s="811"/>
      <c r="F239" s="811"/>
      <c r="G239" s="811"/>
      <c r="H239" s="811"/>
      <c r="I239" s="811"/>
      <c r="J239" s="811"/>
      <c r="K239" s="811"/>
      <c r="L239" s="669"/>
      <c r="M239" s="632"/>
      <c r="N239" s="619"/>
      <c r="O239" s="620"/>
      <c r="P239" s="620"/>
      <c r="Q239" s="620"/>
      <c r="R239" s="620"/>
      <c r="S239" s="621"/>
    </row>
    <row r="240" spans="1:19" ht="15" customHeight="1" x14ac:dyDescent="0.25">
      <c r="A240" s="271"/>
      <c r="B240" s="177"/>
      <c r="C240" s="811" t="s">
        <v>239</v>
      </c>
      <c r="D240" s="811"/>
      <c r="E240" s="811"/>
      <c r="F240" s="811"/>
      <c r="G240" s="811"/>
      <c r="H240" s="811"/>
      <c r="I240" s="811"/>
      <c r="J240" s="811"/>
      <c r="K240" s="811"/>
      <c r="L240" s="669"/>
      <c r="M240" s="632"/>
      <c r="N240" s="619"/>
      <c r="O240" s="620"/>
      <c r="P240" s="620"/>
      <c r="Q240" s="620"/>
      <c r="R240" s="620"/>
      <c r="S240" s="621"/>
    </row>
    <row r="241" spans="1:19" ht="15" customHeight="1" x14ac:dyDescent="0.25">
      <c r="A241" s="271"/>
      <c r="B241" s="177"/>
      <c r="C241" s="811" t="s">
        <v>240</v>
      </c>
      <c r="D241" s="811"/>
      <c r="E241" s="811"/>
      <c r="F241" s="811"/>
      <c r="G241" s="811"/>
      <c r="H241" s="811"/>
      <c r="I241" s="811"/>
      <c r="J241" s="811"/>
      <c r="K241" s="811"/>
      <c r="L241" s="669"/>
      <c r="M241" s="632"/>
      <c r="N241" s="619"/>
      <c r="O241" s="620"/>
      <c r="P241" s="620"/>
      <c r="Q241" s="620"/>
      <c r="R241" s="620"/>
      <c r="S241" s="621"/>
    </row>
    <row r="242" spans="1:19" ht="15" customHeight="1" x14ac:dyDescent="0.25">
      <c r="A242" s="271"/>
      <c r="B242" s="177"/>
      <c r="C242" s="811" t="s">
        <v>241</v>
      </c>
      <c r="D242" s="811"/>
      <c r="E242" s="811"/>
      <c r="F242" s="811"/>
      <c r="G242" s="811"/>
      <c r="H242" s="811"/>
      <c r="I242" s="811"/>
      <c r="J242" s="811"/>
      <c r="K242" s="811"/>
      <c r="L242" s="669"/>
      <c r="M242" s="632"/>
      <c r="N242" s="619"/>
      <c r="O242" s="620"/>
      <c r="P242" s="620"/>
      <c r="Q242" s="620"/>
      <c r="R242" s="620"/>
      <c r="S242" s="621"/>
    </row>
    <row r="243" spans="1:19" ht="15" customHeight="1" x14ac:dyDescent="0.25">
      <c r="A243" s="271"/>
      <c r="B243" s="177"/>
      <c r="C243" s="811" t="s">
        <v>242</v>
      </c>
      <c r="D243" s="811"/>
      <c r="E243" s="811"/>
      <c r="F243" s="811"/>
      <c r="G243" s="811"/>
      <c r="H243" s="811"/>
      <c r="I243" s="811"/>
      <c r="J243" s="811"/>
      <c r="K243" s="811"/>
      <c r="L243" s="669"/>
      <c r="M243" s="632"/>
      <c r="N243" s="619"/>
      <c r="O243" s="620"/>
      <c r="P243" s="620"/>
      <c r="Q243" s="620"/>
      <c r="R243" s="620"/>
      <c r="S243" s="621"/>
    </row>
    <row r="244" spans="1:19" ht="15" customHeight="1" x14ac:dyDescent="0.25">
      <c r="A244" s="271"/>
      <c r="B244" s="177"/>
      <c r="C244" s="811" t="s">
        <v>243</v>
      </c>
      <c r="D244" s="811"/>
      <c r="E244" s="811"/>
      <c r="F244" s="811"/>
      <c r="G244" s="811"/>
      <c r="H244" s="811"/>
      <c r="I244" s="811"/>
      <c r="J244" s="811"/>
      <c r="K244" s="811"/>
      <c r="L244" s="669"/>
      <c r="M244" s="632"/>
      <c r="N244" s="619"/>
      <c r="O244" s="620"/>
      <c r="P244" s="620"/>
      <c r="Q244" s="620"/>
      <c r="R244" s="620"/>
      <c r="S244" s="621"/>
    </row>
    <row r="245" spans="1:19" ht="15" customHeight="1" x14ac:dyDescent="0.25">
      <c r="A245" s="271"/>
      <c r="B245" s="177"/>
      <c r="C245" s="811" t="s">
        <v>244</v>
      </c>
      <c r="D245" s="811"/>
      <c r="E245" s="811"/>
      <c r="F245" s="811"/>
      <c r="G245" s="811"/>
      <c r="H245" s="811"/>
      <c r="I245" s="811"/>
      <c r="J245" s="811"/>
      <c r="K245" s="811"/>
      <c r="L245" s="669"/>
      <c r="M245" s="632"/>
      <c r="N245" s="619"/>
      <c r="O245" s="620"/>
      <c r="P245" s="620"/>
      <c r="Q245" s="620"/>
      <c r="R245" s="620"/>
      <c r="S245" s="621"/>
    </row>
    <row r="246" spans="1:19" ht="15" customHeight="1" x14ac:dyDescent="0.25">
      <c r="A246" s="271"/>
      <c r="B246" s="177"/>
      <c r="C246" s="811" t="s">
        <v>245</v>
      </c>
      <c r="D246" s="811"/>
      <c r="E246" s="811"/>
      <c r="F246" s="811"/>
      <c r="G246" s="811"/>
      <c r="H246" s="811"/>
      <c r="I246" s="811"/>
      <c r="J246" s="811"/>
      <c r="K246" s="811"/>
      <c r="L246" s="669"/>
      <c r="M246" s="632"/>
      <c r="N246" s="619"/>
      <c r="O246" s="620"/>
      <c r="P246" s="620"/>
      <c r="Q246" s="620"/>
      <c r="R246" s="620"/>
      <c r="S246" s="621"/>
    </row>
    <row r="247" spans="1:19" ht="15" customHeight="1" x14ac:dyDescent="0.25">
      <c r="A247" s="271"/>
      <c r="B247" s="177"/>
      <c r="C247" s="811" t="s">
        <v>246</v>
      </c>
      <c r="D247" s="811"/>
      <c r="E247" s="811"/>
      <c r="F247" s="811"/>
      <c r="G247" s="811"/>
      <c r="H247" s="811"/>
      <c r="I247" s="811"/>
      <c r="J247" s="811"/>
      <c r="K247" s="811"/>
      <c r="L247" s="669"/>
      <c r="M247" s="632"/>
      <c r="N247" s="619"/>
      <c r="O247" s="620"/>
      <c r="P247" s="620"/>
      <c r="Q247" s="620"/>
      <c r="R247" s="620"/>
      <c r="S247" s="621"/>
    </row>
    <row r="248" spans="1:19" ht="15" customHeight="1" x14ac:dyDescent="0.25">
      <c r="A248" s="168"/>
      <c r="B248" s="179"/>
      <c r="C248" s="811" t="s">
        <v>247</v>
      </c>
      <c r="D248" s="811"/>
      <c r="E248" s="811"/>
      <c r="F248" s="811"/>
      <c r="G248" s="811"/>
      <c r="H248" s="811"/>
      <c r="I248" s="811"/>
      <c r="J248" s="811"/>
      <c r="K248" s="811"/>
      <c r="L248" s="667"/>
      <c r="M248" s="633"/>
      <c r="N248" s="622"/>
      <c r="O248" s="623"/>
      <c r="P248" s="623"/>
      <c r="Q248" s="623"/>
      <c r="R248" s="623"/>
      <c r="S248" s="624"/>
    </row>
    <row r="249" spans="1:19" ht="90" customHeight="1" x14ac:dyDescent="0.25">
      <c r="A249" s="266" t="s">
        <v>248</v>
      </c>
      <c r="B249" s="181"/>
      <c r="C249" s="639" t="s">
        <v>846</v>
      </c>
      <c r="D249" s="639"/>
      <c r="E249" s="639"/>
      <c r="F249" s="639"/>
      <c r="G249" s="639"/>
      <c r="H249" s="639"/>
      <c r="I249" s="639"/>
      <c r="J249" s="639"/>
      <c r="K249" s="639"/>
      <c r="L249" s="581">
        <v>1.25</v>
      </c>
      <c r="M249" s="184" t="s">
        <v>219</v>
      </c>
      <c r="N249" s="1140" t="s">
        <v>896</v>
      </c>
      <c r="O249" s="1141"/>
      <c r="P249" s="1141"/>
      <c r="Q249" s="1141"/>
      <c r="R249" s="1141"/>
      <c r="S249" s="1142"/>
    </row>
    <row r="250" spans="1:19" ht="15" customHeight="1" x14ac:dyDescent="0.25">
      <c r="A250" s="271"/>
      <c r="B250" s="177"/>
      <c r="C250" s="606" t="s">
        <v>249</v>
      </c>
      <c r="D250" s="607"/>
      <c r="E250" s="607"/>
      <c r="F250" s="607"/>
      <c r="G250" s="607"/>
      <c r="H250" s="607"/>
      <c r="I250" s="607"/>
      <c r="J250" s="607"/>
      <c r="K250" s="608"/>
      <c r="L250" s="669"/>
      <c r="M250" s="1144" t="s">
        <v>1040</v>
      </c>
      <c r="N250" s="1147"/>
      <c r="O250" s="1148"/>
      <c r="P250" s="1148"/>
      <c r="Q250" s="1148"/>
      <c r="R250" s="1148"/>
      <c r="S250" s="1149"/>
    </row>
    <row r="251" spans="1:19" ht="15" customHeight="1" x14ac:dyDescent="0.25">
      <c r="A251" s="271"/>
      <c r="B251" s="177"/>
      <c r="C251" s="811" t="s">
        <v>250</v>
      </c>
      <c r="D251" s="811"/>
      <c r="E251" s="811"/>
      <c r="F251" s="811"/>
      <c r="G251" s="811"/>
      <c r="H251" s="811"/>
      <c r="I251" s="811"/>
      <c r="J251" s="811"/>
      <c r="K251" s="811"/>
      <c r="L251" s="669"/>
      <c r="M251" s="1145"/>
      <c r="N251" s="619"/>
      <c r="O251" s="620"/>
      <c r="P251" s="620"/>
      <c r="Q251" s="620"/>
      <c r="R251" s="620"/>
      <c r="S251" s="621"/>
    </row>
    <row r="252" spans="1:19" ht="15" customHeight="1" x14ac:dyDescent="0.25">
      <c r="A252" s="271"/>
      <c r="B252" s="177"/>
      <c r="C252" s="811" t="s">
        <v>251</v>
      </c>
      <c r="D252" s="811"/>
      <c r="E252" s="811"/>
      <c r="F252" s="811"/>
      <c r="G252" s="811"/>
      <c r="H252" s="811"/>
      <c r="I252" s="811"/>
      <c r="J252" s="811"/>
      <c r="K252" s="811"/>
      <c r="L252" s="669"/>
      <c r="M252" s="1146"/>
      <c r="N252" s="619"/>
      <c r="O252" s="620"/>
      <c r="P252" s="620"/>
      <c r="Q252" s="620"/>
      <c r="R252" s="620"/>
      <c r="S252" s="621"/>
    </row>
    <row r="253" spans="1:19" ht="15" customHeight="1" x14ac:dyDescent="0.25">
      <c r="A253" s="271"/>
      <c r="B253" s="177"/>
      <c r="C253" s="811" t="s">
        <v>252</v>
      </c>
      <c r="D253" s="811"/>
      <c r="E253" s="811"/>
      <c r="F253" s="811"/>
      <c r="G253" s="811"/>
      <c r="H253" s="811"/>
      <c r="I253" s="811"/>
      <c r="J253" s="811"/>
      <c r="K253" s="811"/>
      <c r="L253" s="669"/>
      <c r="M253" s="213"/>
      <c r="N253" s="619"/>
      <c r="O253" s="620"/>
      <c r="P253" s="620"/>
      <c r="Q253" s="620"/>
      <c r="R253" s="620"/>
      <c r="S253" s="621"/>
    </row>
    <row r="254" spans="1:19" ht="15" customHeight="1" x14ac:dyDescent="0.25">
      <c r="A254" s="271"/>
      <c r="B254" s="177"/>
      <c r="C254" s="811" t="s">
        <v>253</v>
      </c>
      <c r="D254" s="811"/>
      <c r="E254" s="811"/>
      <c r="F254" s="811"/>
      <c r="G254" s="811"/>
      <c r="H254" s="811"/>
      <c r="I254" s="811"/>
      <c r="J254" s="811"/>
      <c r="K254" s="811"/>
      <c r="L254" s="669"/>
      <c r="M254" s="249">
        <f>MIN(M253*0.25,1.25)</f>
        <v>0</v>
      </c>
      <c r="N254" s="619"/>
      <c r="O254" s="620"/>
      <c r="P254" s="620"/>
      <c r="Q254" s="620"/>
      <c r="R254" s="620"/>
      <c r="S254" s="621"/>
    </row>
    <row r="255" spans="1:19" ht="75" customHeight="1" x14ac:dyDescent="0.25">
      <c r="A255" s="1068" t="s">
        <v>254</v>
      </c>
      <c r="B255" s="760"/>
      <c r="C255" s="822" t="s">
        <v>255</v>
      </c>
      <c r="D255" s="822"/>
      <c r="E255" s="822"/>
      <c r="F255" s="822"/>
      <c r="G255" s="822"/>
      <c r="H255" s="822"/>
      <c r="I255" s="822"/>
      <c r="J255" s="822"/>
      <c r="K255" s="822"/>
      <c r="L255" s="581">
        <v>1</v>
      </c>
      <c r="M255" s="176" t="s">
        <v>1352</v>
      </c>
      <c r="N255" s="1140" t="s">
        <v>897</v>
      </c>
      <c r="O255" s="1141"/>
      <c r="P255" s="1141"/>
      <c r="Q255" s="1141"/>
      <c r="R255" s="1141"/>
      <c r="S255" s="1142"/>
    </row>
    <row r="256" spans="1:19" ht="17.25" customHeight="1" x14ac:dyDescent="0.25">
      <c r="A256" s="838"/>
      <c r="B256" s="840"/>
      <c r="C256" s="1157"/>
      <c r="D256" s="1157"/>
      <c r="E256" s="1157"/>
      <c r="F256" s="1157"/>
      <c r="G256" s="1157"/>
      <c r="H256" s="1157"/>
      <c r="I256" s="1157"/>
      <c r="J256" s="1157"/>
      <c r="K256" s="1157"/>
      <c r="L256" s="667"/>
      <c r="M256" s="248"/>
      <c r="N256" s="640"/>
      <c r="O256" s="641"/>
      <c r="P256" s="641"/>
      <c r="Q256" s="641"/>
      <c r="R256" s="641"/>
      <c r="S256" s="642"/>
    </row>
    <row r="257" spans="1:19" ht="17.25" customHeight="1" x14ac:dyDescent="0.25">
      <c r="A257" s="766" t="s">
        <v>256</v>
      </c>
      <c r="B257" s="767"/>
      <c r="C257" s="767"/>
      <c r="D257" s="767"/>
      <c r="E257" s="767"/>
      <c r="F257" s="767"/>
      <c r="G257" s="767"/>
      <c r="H257" s="767"/>
      <c r="I257" s="767"/>
      <c r="J257" s="767"/>
      <c r="K257" s="767"/>
      <c r="L257" s="767"/>
      <c r="M257" s="767"/>
      <c r="N257" s="767"/>
      <c r="O257" s="767"/>
      <c r="P257" s="767"/>
      <c r="Q257" s="767"/>
      <c r="R257" s="767"/>
      <c r="S257" s="768"/>
    </row>
    <row r="258" spans="1:19" ht="18" customHeight="1" x14ac:dyDescent="0.25">
      <c r="A258" s="185" t="s">
        <v>257</v>
      </c>
      <c r="B258" s="186"/>
      <c r="C258" s="1150" t="s">
        <v>258</v>
      </c>
      <c r="D258" s="1150"/>
      <c r="E258" s="1150"/>
      <c r="F258" s="1150"/>
      <c r="G258" s="1150"/>
      <c r="H258" s="1150"/>
      <c r="I258" s="1150"/>
      <c r="J258" s="1150"/>
      <c r="K258" s="1150"/>
      <c r="L258" s="187">
        <v>1</v>
      </c>
      <c r="M258" s="280"/>
      <c r="N258" s="1151"/>
      <c r="O258" s="1151"/>
      <c r="P258" s="1151"/>
      <c r="Q258" s="1151"/>
      <c r="R258" s="1151"/>
      <c r="S258" s="1151"/>
    </row>
    <row r="259" spans="1:19" ht="21" customHeight="1" x14ac:dyDescent="0.25">
      <c r="A259" s="1152" t="s">
        <v>852</v>
      </c>
      <c r="B259" s="1153"/>
      <c r="C259" s="1153"/>
      <c r="D259" s="1153"/>
      <c r="E259" s="1153"/>
      <c r="F259" s="1153"/>
      <c r="G259" s="1153"/>
      <c r="H259" s="1153"/>
      <c r="I259" s="1153"/>
      <c r="J259" s="1153"/>
      <c r="K259" s="1153"/>
      <c r="L259" s="188"/>
      <c r="M259" s="188"/>
      <c r="N259" s="236"/>
      <c r="O259" s="236"/>
      <c r="P259" s="236"/>
      <c r="Q259" s="236"/>
      <c r="R259" s="189"/>
      <c r="S259" s="190"/>
    </row>
    <row r="260" spans="1:19" ht="30" customHeight="1" x14ac:dyDescent="0.25">
      <c r="A260" s="265"/>
      <c r="B260" s="191"/>
      <c r="C260" s="1154" t="s">
        <v>848</v>
      </c>
      <c r="D260" s="1154"/>
      <c r="E260" s="1154"/>
      <c r="F260" s="1154"/>
      <c r="G260" s="1154"/>
      <c r="H260" s="1154"/>
      <c r="I260" s="1154"/>
      <c r="J260" s="1154"/>
      <c r="K260" s="1154"/>
      <c r="L260" s="1155" t="str">
        <f>IF(AND(M166=15,O263="Yes",O264="Yes"),"Gold",IF(AND(M166=21,O263="Yes"),"Emerald",IF(AND(OR(M166&lt;&gt;15,M166&lt;&gt;21),O263="Yes",O264="Yes",O265="Yes",O266="Emerald"),"Emerald",IF(AND(OR(M166&lt;&gt;15,M166&lt;&gt;21),O263="Yes",O264="Yes",O266="Gold"),"Gold","CANNOT CERTIFY"))))</f>
        <v>CANNOT CERTIFY</v>
      </c>
      <c r="M260" s="1156"/>
      <c r="N260" s="1063" t="str">
        <f>IF(K164="Yes","Indoor air quality practices were satisfied using EPA Indoor AirPlus program.","")</f>
        <v/>
      </c>
      <c r="O260" s="1064"/>
      <c r="P260" s="1064"/>
      <c r="Q260" s="1064"/>
      <c r="R260" s="216"/>
      <c r="S260" s="217"/>
    </row>
    <row r="261" spans="1:19" ht="10.15" customHeight="1" x14ac:dyDescent="0.25">
      <c r="A261" s="1163"/>
      <c r="B261" s="1161"/>
      <c r="C261" s="1161"/>
      <c r="D261" s="1161"/>
      <c r="E261" s="1161"/>
      <c r="F261" s="1161"/>
      <c r="G261" s="1161"/>
      <c r="H261" s="1161"/>
      <c r="I261" s="1161"/>
      <c r="J261" s="1161"/>
      <c r="K261" s="1161"/>
      <c r="L261" s="1161"/>
      <c r="M261" s="1161"/>
      <c r="N261" s="1161"/>
      <c r="O261" s="1161"/>
      <c r="P261" s="1161"/>
      <c r="Q261" s="1161"/>
      <c r="R261" s="1161"/>
      <c r="S261" s="1162"/>
    </row>
    <row r="262" spans="1:19" ht="18" customHeight="1" x14ac:dyDescent="0.25">
      <c r="A262" s="265"/>
      <c r="B262" s="191"/>
      <c r="C262" s="1055" t="s">
        <v>856</v>
      </c>
      <c r="D262" s="1055"/>
      <c r="E262" s="1055"/>
      <c r="F262" s="1055"/>
      <c r="G262" s="1055"/>
      <c r="H262" s="1055"/>
      <c r="I262" s="1055"/>
      <c r="J262" s="1056" t="s">
        <v>825</v>
      </c>
      <c r="K262" s="1056"/>
      <c r="L262" s="192">
        <v>35.75</v>
      </c>
      <c r="M262" s="192">
        <f>IF(OR(M166=15,M166=21),M166,SUM(M171,M172,M173,M174,M181,M182,M186,M194,M195,M197,M199,M200,M207,M209,M210,M213,M216,M220,M221,M222,M223,M225,M226,M229,M231,M234,M254,M256,M258))</f>
        <v>0</v>
      </c>
      <c r="N262" s="1164" t="s">
        <v>826</v>
      </c>
      <c r="O262" s="1164"/>
      <c r="P262" s="1164"/>
      <c r="Q262" s="1164"/>
      <c r="R262" s="1161"/>
      <c r="S262" s="1162"/>
    </row>
    <row r="263" spans="1:19" ht="18" customHeight="1" x14ac:dyDescent="0.25">
      <c r="A263" s="265"/>
      <c r="B263" s="191"/>
      <c r="C263" s="1158" t="s">
        <v>915</v>
      </c>
      <c r="D263" s="1159"/>
      <c r="E263" s="1159"/>
      <c r="F263" s="1159"/>
      <c r="G263" s="1159"/>
      <c r="H263" s="1159"/>
      <c r="I263" s="1159"/>
      <c r="J263" s="1159"/>
      <c r="K263" s="1159"/>
      <c r="L263" s="1159"/>
      <c r="M263" s="1159"/>
      <c r="N263" s="1160"/>
      <c r="O263" s="772" t="str">
        <f>IF(OR(M166=15,M166=21),"Yes",IF(AND(M169="In Compliance",M170="In Compliance",OR(M171=0,M171=1),M179="In Compliance",M188="In Compliance",M191="In Compliance",M201="In Compliance",M203="In Compliance",M204="In Compliance",M205="In Compliance",M205="In Compliance",M206="In Compliance",M212="In Compliance",M215="In Compliance",M218="In Compliance",M228="In Compliance"),"Yes","No"))</f>
        <v>No</v>
      </c>
      <c r="P263" s="773"/>
      <c r="Q263" s="774"/>
      <c r="R263" s="1161"/>
      <c r="S263" s="1162"/>
    </row>
    <row r="264" spans="1:19" ht="18" customHeight="1" x14ac:dyDescent="0.25">
      <c r="A264" s="265"/>
      <c r="B264" s="191"/>
      <c r="C264" s="1158" t="s">
        <v>1297</v>
      </c>
      <c r="D264" s="1159"/>
      <c r="E264" s="1159"/>
      <c r="F264" s="1159"/>
      <c r="G264" s="1159"/>
      <c r="H264" s="1159"/>
      <c r="I264" s="1159"/>
      <c r="J264" s="1159"/>
      <c r="K264" s="1159"/>
      <c r="L264" s="1159"/>
      <c r="M264" s="1159"/>
      <c r="N264" s="1160"/>
      <c r="O264" s="772" t="str">
        <f>IF(AND(OR(OR(M166=15,M166=21),AND(OR(M166&lt;&gt;15,M166&lt;&gt;21),M179="In Compliance"))),"Yes","No")</f>
        <v>No</v>
      </c>
      <c r="P264" s="773"/>
      <c r="Q264" s="774"/>
      <c r="R264" s="263"/>
      <c r="S264" s="264"/>
    </row>
    <row r="265" spans="1:19" ht="36" customHeight="1" x14ac:dyDescent="0.25">
      <c r="A265" s="265"/>
      <c r="B265" s="191"/>
      <c r="C265" s="1158" t="s">
        <v>1380</v>
      </c>
      <c r="D265" s="1159"/>
      <c r="E265" s="1159"/>
      <c r="F265" s="1159"/>
      <c r="G265" s="1159"/>
      <c r="H265" s="1159"/>
      <c r="I265" s="1159"/>
      <c r="J265" s="1159"/>
      <c r="K265" s="1159"/>
      <c r="L265" s="1159"/>
      <c r="M265" s="1159"/>
      <c r="N265" s="1160"/>
      <c r="O265" s="772" t="str">
        <f>IF(OR(M166=21,AND(M166&lt;&gt;21,M179="In Compliance",M182=6)),"Yes","No")</f>
        <v>No</v>
      </c>
      <c r="P265" s="773"/>
      <c r="Q265" s="774"/>
      <c r="R265" s="1161"/>
      <c r="S265" s="1162"/>
    </row>
    <row r="266" spans="1:19" ht="54" customHeight="1" x14ac:dyDescent="0.25">
      <c r="A266" s="265"/>
      <c r="B266" s="191"/>
      <c r="C266" s="1158" t="s">
        <v>1239</v>
      </c>
      <c r="D266" s="1159"/>
      <c r="E266" s="1159"/>
      <c r="F266" s="1159"/>
      <c r="G266" s="1159"/>
      <c r="H266" s="1159"/>
      <c r="I266" s="1159"/>
      <c r="J266" s="1159"/>
      <c r="K266" s="1159"/>
      <c r="L266" s="1159"/>
      <c r="M266" s="1159"/>
      <c r="N266" s="1160"/>
      <c r="O266" s="714" t="str">
        <f>IF(M262&gt;=15,"Emerald",IF(M262&gt;=10,"Gold",IF(M262&lt;15,"Not Enough Points for Certification")))</f>
        <v>Not Enough Points for Certification</v>
      </c>
      <c r="P266" s="1007"/>
      <c r="Q266" s="1008"/>
      <c r="R266" s="263"/>
      <c r="S266" s="264"/>
    </row>
    <row r="267" spans="1:19" ht="10.15" customHeight="1" x14ac:dyDescent="0.25">
      <c r="A267" s="1166"/>
      <c r="B267" s="1167"/>
      <c r="C267" s="1167"/>
      <c r="D267" s="1167"/>
      <c r="E267" s="1167"/>
      <c r="F267" s="1167"/>
      <c r="G267" s="1167"/>
      <c r="H267" s="1167"/>
      <c r="I267" s="1167"/>
      <c r="J267" s="1167"/>
      <c r="K267" s="1167"/>
      <c r="L267" s="1167"/>
      <c r="M267" s="1167"/>
      <c r="N267" s="1167"/>
      <c r="O267" s="1167"/>
      <c r="P267" s="1167"/>
      <c r="Q267" s="1167"/>
      <c r="R267" s="1167"/>
      <c r="S267" s="1168"/>
    </row>
    <row r="268" spans="1:19" ht="18" customHeight="1" x14ac:dyDescent="0.25">
      <c r="A268" s="1169" t="s">
        <v>259</v>
      </c>
      <c r="B268" s="1170"/>
      <c r="C268" s="1170"/>
      <c r="D268" s="1170"/>
      <c r="E268" s="1170"/>
      <c r="F268" s="1170"/>
      <c r="G268" s="1170"/>
      <c r="H268" s="1170"/>
      <c r="I268" s="1170"/>
      <c r="J268" s="1170"/>
      <c r="K268" s="1170"/>
      <c r="L268" s="1170"/>
      <c r="M268" s="1170"/>
      <c r="N268" s="1170"/>
      <c r="O268" s="1170"/>
      <c r="P268" s="1170"/>
      <c r="Q268" s="1170"/>
      <c r="R268" s="1170"/>
      <c r="S268" s="1171"/>
    </row>
    <row r="269" spans="1:19" ht="58.9" customHeight="1" x14ac:dyDescent="0.25">
      <c r="A269" s="1172">
        <v>4.0999999999999996</v>
      </c>
      <c r="B269" s="760"/>
      <c r="C269" s="643" t="s">
        <v>963</v>
      </c>
      <c r="D269" s="643"/>
      <c r="E269" s="643"/>
      <c r="F269" s="643"/>
      <c r="G269" s="643"/>
      <c r="H269" s="643"/>
      <c r="I269" s="643"/>
      <c r="J269" s="643"/>
      <c r="K269" s="643"/>
      <c r="L269" s="1174" t="s">
        <v>260</v>
      </c>
      <c r="M269" s="581" t="str">
        <f>IF(AND(ISNUMBER(CFA),ISNUMBER(Bedrooms)),ROUND(((Benchmark-CFA)/300),0),"Number of Bedrooms or CFA?")</f>
        <v>Number of Bedrooms or CFA?</v>
      </c>
      <c r="N269" s="585"/>
      <c r="O269" s="617"/>
      <c r="P269" s="617"/>
      <c r="Q269" s="617"/>
      <c r="R269" s="617"/>
      <c r="S269" s="618"/>
    </row>
    <row r="270" spans="1:19" ht="18" customHeight="1" x14ac:dyDescent="0.25">
      <c r="A270" s="1173"/>
      <c r="B270" s="707"/>
      <c r="C270" s="1176" t="s">
        <v>962</v>
      </c>
      <c r="D270" s="1177"/>
      <c r="E270" s="1177"/>
      <c r="F270" s="1177"/>
      <c r="G270" s="1177"/>
      <c r="H270" s="1177"/>
      <c r="I270" s="1178"/>
      <c r="J270" s="1179" t="str">
        <f>IF(Bedrooms="","# of Bedrooms?",IF(Bedrooms=0,1000,((Bedrooms*600)+400)))</f>
        <v># of Bedrooms?</v>
      </c>
      <c r="K270" s="1180"/>
      <c r="L270" s="1175"/>
      <c r="M270" s="669"/>
      <c r="N270" s="619"/>
      <c r="O270" s="620"/>
      <c r="P270" s="620"/>
      <c r="Q270" s="620"/>
      <c r="R270" s="620"/>
      <c r="S270" s="621"/>
    </row>
    <row r="271" spans="1:19" x14ac:dyDescent="0.25">
      <c r="A271" s="1165" t="s">
        <v>268</v>
      </c>
      <c r="B271" s="1165"/>
      <c r="C271" s="1165"/>
      <c r="D271" s="1165"/>
      <c r="E271" s="1165"/>
      <c r="F271" s="1165"/>
      <c r="G271" s="1165"/>
      <c r="H271" s="1165"/>
      <c r="I271" s="1165"/>
      <c r="J271" s="1165"/>
      <c r="K271" s="1165"/>
      <c r="L271" s="1165"/>
      <c r="M271" s="1165"/>
      <c r="N271" s="1165"/>
      <c r="O271" s="1165"/>
      <c r="P271" s="1165"/>
      <c r="Q271" s="1165"/>
      <c r="R271" s="1165"/>
      <c r="S271" s="1165"/>
    </row>
    <row r="272" spans="1:19" ht="48" customHeight="1" x14ac:dyDescent="0.25">
      <c r="A272" s="261" t="s">
        <v>269</v>
      </c>
      <c r="B272" s="193"/>
      <c r="C272" s="615" t="s">
        <v>898</v>
      </c>
      <c r="D272" s="615"/>
      <c r="E272" s="615"/>
      <c r="F272" s="615"/>
      <c r="G272" s="615"/>
      <c r="H272" s="615"/>
      <c r="I272" s="615"/>
      <c r="J272" s="615"/>
      <c r="K272" s="615"/>
      <c r="L272" s="118">
        <v>1</v>
      </c>
      <c r="M272" s="214"/>
      <c r="N272" s="1132"/>
      <c r="O272" s="1132"/>
      <c r="P272" s="1132"/>
      <c r="Q272" s="1132"/>
      <c r="R272" s="1132"/>
      <c r="S272" s="1132"/>
    </row>
    <row r="273" spans="1:19" ht="48" customHeight="1" x14ac:dyDescent="0.25">
      <c r="A273" s="261" t="s">
        <v>270</v>
      </c>
      <c r="B273" s="193"/>
      <c r="C273" s="1012" t="s">
        <v>899</v>
      </c>
      <c r="D273" s="1013"/>
      <c r="E273" s="1013"/>
      <c r="F273" s="1013"/>
      <c r="G273" s="1013"/>
      <c r="H273" s="1013"/>
      <c r="I273" s="1013"/>
      <c r="J273" s="1013"/>
      <c r="K273" s="1014"/>
      <c r="L273" s="118">
        <v>2</v>
      </c>
      <c r="M273" s="214"/>
      <c r="N273" s="1132"/>
      <c r="O273" s="1132"/>
      <c r="P273" s="1132"/>
      <c r="Q273" s="1132"/>
      <c r="R273" s="1132"/>
      <c r="S273" s="1132"/>
    </row>
    <row r="274" spans="1:19" ht="30.4" customHeight="1" x14ac:dyDescent="0.25">
      <c r="A274" s="261" t="s">
        <v>271</v>
      </c>
      <c r="B274" s="193"/>
      <c r="C274" s="615" t="s">
        <v>900</v>
      </c>
      <c r="D274" s="615"/>
      <c r="E274" s="615"/>
      <c r="F274" s="615"/>
      <c r="G274" s="615"/>
      <c r="H274" s="615"/>
      <c r="I274" s="615"/>
      <c r="J274" s="615"/>
      <c r="K274" s="615"/>
      <c r="L274" s="118">
        <v>2</v>
      </c>
      <c r="M274" s="214"/>
      <c r="N274" s="1132"/>
      <c r="O274" s="1132"/>
      <c r="P274" s="1132"/>
      <c r="Q274" s="1132"/>
      <c r="R274" s="1132"/>
      <c r="S274" s="1132"/>
    </row>
    <row r="275" spans="1:19" ht="45.75" customHeight="1" x14ac:dyDescent="0.25">
      <c r="A275" s="261" t="s">
        <v>272</v>
      </c>
      <c r="B275" s="193"/>
      <c r="C275" s="1181" t="s">
        <v>901</v>
      </c>
      <c r="D275" s="1182"/>
      <c r="E275" s="1182"/>
      <c r="F275" s="1182"/>
      <c r="G275" s="1182"/>
      <c r="H275" s="1182"/>
      <c r="I275" s="1182"/>
      <c r="J275" s="1182"/>
      <c r="K275" s="1183"/>
      <c r="L275" s="118">
        <v>2</v>
      </c>
      <c r="M275" s="214"/>
      <c r="N275" s="640"/>
      <c r="O275" s="641"/>
      <c r="P275" s="641"/>
      <c r="Q275" s="641"/>
      <c r="R275" s="641"/>
      <c r="S275" s="642"/>
    </row>
    <row r="276" spans="1:19" ht="31.5" customHeight="1" x14ac:dyDescent="0.25">
      <c r="A276" s="261" t="s">
        <v>273</v>
      </c>
      <c r="B276" s="193"/>
      <c r="C276" s="1181" t="s">
        <v>902</v>
      </c>
      <c r="D276" s="1182"/>
      <c r="E276" s="1182"/>
      <c r="F276" s="1182"/>
      <c r="G276" s="1182"/>
      <c r="H276" s="1182"/>
      <c r="I276" s="1182"/>
      <c r="J276" s="1182"/>
      <c r="K276" s="1183"/>
      <c r="L276" s="118">
        <v>2</v>
      </c>
      <c r="M276" s="214"/>
      <c r="N276" s="640"/>
      <c r="O276" s="641"/>
      <c r="P276" s="641"/>
      <c r="Q276" s="641"/>
      <c r="R276" s="641"/>
      <c r="S276" s="642"/>
    </row>
    <row r="277" spans="1:19" ht="34.5" customHeight="1" x14ac:dyDescent="0.25">
      <c r="A277" s="261" t="s">
        <v>274</v>
      </c>
      <c r="B277" s="193"/>
      <c r="C277" s="643" t="s">
        <v>903</v>
      </c>
      <c r="D277" s="643"/>
      <c r="E277" s="643"/>
      <c r="F277" s="643"/>
      <c r="G277" s="643"/>
      <c r="H277" s="643"/>
      <c r="I277" s="643"/>
      <c r="J277" s="643"/>
      <c r="K277" s="643"/>
      <c r="L277" s="118">
        <v>1</v>
      </c>
      <c r="M277" s="214"/>
      <c r="N277" s="1132"/>
      <c r="O277" s="1132"/>
      <c r="P277" s="1132"/>
      <c r="Q277" s="1132"/>
      <c r="R277" s="1132"/>
      <c r="S277" s="1132"/>
    </row>
    <row r="278" spans="1:19" ht="30.4" customHeight="1" x14ac:dyDescent="0.25">
      <c r="A278" s="261" t="s">
        <v>275</v>
      </c>
      <c r="B278" s="193"/>
      <c r="C278" s="615" t="s">
        <v>904</v>
      </c>
      <c r="D278" s="615"/>
      <c r="E278" s="615"/>
      <c r="F278" s="615"/>
      <c r="G278" s="615"/>
      <c r="H278" s="615"/>
      <c r="I278" s="615"/>
      <c r="J278" s="615"/>
      <c r="K278" s="615"/>
      <c r="L278" s="118">
        <v>2</v>
      </c>
      <c r="M278" s="214"/>
      <c r="N278" s="1132"/>
      <c r="O278" s="1132"/>
      <c r="P278" s="1132"/>
      <c r="Q278" s="1132"/>
      <c r="R278" s="1132"/>
      <c r="S278" s="1132"/>
    </row>
    <row r="279" spans="1:19" ht="30.75" customHeight="1" x14ac:dyDescent="0.25">
      <c r="A279" s="261" t="s">
        <v>276</v>
      </c>
      <c r="B279" s="193"/>
      <c r="C279" s="615" t="s">
        <v>1355</v>
      </c>
      <c r="D279" s="615"/>
      <c r="E279" s="615"/>
      <c r="F279" s="615"/>
      <c r="G279" s="615"/>
      <c r="H279" s="615"/>
      <c r="I279" s="615"/>
      <c r="J279" s="615"/>
      <c r="K279" s="615"/>
      <c r="L279" s="118">
        <v>3</v>
      </c>
      <c r="M279" s="214"/>
      <c r="N279" s="1132"/>
      <c r="O279" s="1132"/>
      <c r="P279" s="1132"/>
      <c r="Q279" s="1132"/>
      <c r="R279" s="1132"/>
      <c r="S279" s="1132"/>
    </row>
    <row r="280" spans="1:19" ht="33" customHeight="1" x14ac:dyDescent="0.25">
      <c r="A280" s="261" t="s">
        <v>277</v>
      </c>
      <c r="B280" s="193"/>
      <c r="C280" s="761" t="s">
        <v>905</v>
      </c>
      <c r="D280" s="695"/>
      <c r="E280" s="695"/>
      <c r="F280" s="695"/>
      <c r="G280" s="695"/>
      <c r="H280" s="695"/>
      <c r="I280" s="695"/>
      <c r="J280" s="695"/>
      <c r="K280" s="696"/>
      <c r="L280" s="118">
        <v>1</v>
      </c>
      <c r="M280" s="214"/>
      <c r="N280" s="640"/>
      <c r="O280" s="641"/>
      <c r="P280" s="641"/>
      <c r="Q280" s="641"/>
      <c r="R280" s="641"/>
      <c r="S280" s="642"/>
    </row>
    <row r="281" spans="1:19" ht="33" customHeight="1" x14ac:dyDescent="0.25">
      <c r="A281" s="261" t="s">
        <v>278</v>
      </c>
      <c r="B281" s="193"/>
      <c r="C281" s="822" t="s">
        <v>1356</v>
      </c>
      <c r="D281" s="822"/>
      <c r="E281" s="822"/>
      <c r="F281" s="822"/>
      <c r="G281" s="822"/>
      <c r="H281" s="822"/>
      <c r="I281" s="822"/>
      <c r="J281" s="822"/>
      <c r="K281" s="822"/>
      <c r="L281" s="269">
        <v>1</v>
      </c>
      <c r="M281" s="247"/>
      <c r="N281" s="1184"/>
      <c r="O281" s="1184"/>
      <c r="P281" s="1184"/>
      <c r="Q281" s="1184"/>
      <c r="R281" s="1184"/>
      <c r="S281" s="1184"/>
    </row>
    <row r="282" spans="1:19" x14ac:dyDescent="0.25">
      <c r="A282" s="1165" t="s">
        <v>279</v>
      </c>
      <c r="B282" s="1165"/>
      <c r="C282" s="1165"/>
      <c r="D282" s="1165"/>
      <c r="E282" s="1165"/>
      <c r="F282" s="1165"/>
      <c r="G282" s="1165"/>
      <c r="H282" s="1165"/>
      <c r="I282" s="1165"/>
      <c r="J282" s="1165"/>
      <c r="K282" s="1165"/>
      <c r="L282" s="1165"/>
      <c r="M282" s="1165"/>
      <c r="N282" s="1165"/>
      <c r="O282" s="1165"/>
      <c r="P282" s="1165"/>
      <c r="Q282" s="1165"/>
      <c r="R282" s="1165"/>
      <c r="S282" s="1165"/>
    </row>
    <row r="283" spans="1:19" ht="45.75" customHeight="1" x14ac:dyDescent="0.25">
      <c r="A283" s="261" t="s">
        <v>280</v>
      </c>
      <c r="B283" s="193"/>
      <c r="C283" s="1185" t="s">
        <v>281</v>
      </c>
      <c r="D283" s="1185"/>
      <c r="E283" s="1185"/>
      <c r="F283" s="1185"/>
      <c r="G283" s="1185"/>
      <c r="H283" s="1185"/>
      <c r="I283" s="1185"/>
      <c r="J283" s="1185"/>
      <c r="K283" s="1185"/>
      <c r="L283" s="118">
        <v>1</v>
      </c>
      <c r="M283" s="214"/>
      <c r="N283" s="1132"/>
      <c r="O283" s="1132"/>
      <c r="P283" s="1132"/>
      <c r="Q283" s="1132"/>
      <c r="R283" s="1132"/>
      <c r="S283" s="1132"/>
    </row>
    <row r="284" spans="1:19" ht="62.25" customHeight="1" x14ac:dyDescent="0.25">
      <c r="A284" s="261" t="s">
        <v>282</v>
      </c>
      <c r="B284" s="193"/>
      <c r="C284" s="615" t="s">
        <v>283</v>
      </c>
      <c r="D284" s="615"/>
      <c r="E284" s="615"/>
      <c r="F284" s="615"/>
      <c r="G284" s="615"/>
      <c r="H284" s="615"/>
      <c r="I284" s="615"/>
      <c r="J284" s="615"/>
      <c r="K284" s="615"/>
      <c r="L284" s="118">
        <v>4</v>
      </c>
      <c r="M284" s="214"/>
      <c r="N284" s="1132"/>
      <c r="O284" s="1132"/>
      <c r="P284" s="1132"/>
      <c r="Q284" s="1132"/>
      <c r="R284" s="1132"/>
      <c r="S284" s="1132"/>
    </row>
    <row r="285" spans="1:19" ht="47.25" customHeight="1" x14ac:dyDescent="0.25">
      <c r="A285" s="261" t="s">
        <v>284</v>
      </c>
      <c r="B285" s="193"/>
      <c r="C285" s="615" t="s">
        <v>285</v>
      </c>
      <c r="D285" s="615"/>
      <c r="E285" s="615"/>
      <c r="F285" s="615"/>
      <c r="G285" s="615"/>
      <c r="H285" s="615"/>
      <c r="I285" s="615"/>
      <c r="J285" s="615"/>
      <c r="K285" s="615"/>
      <c r="L285" s="118">
        <v>1</v>
      </c>
      <c r="M285" s="214"/>
      <c r="N285" s="1132"/>
      <c r="O285" s="1132"/>
      <c r="P285" s="1132"/>
      <c r="Q285" s="1132"/>
      <c r="R285" s="1132"/>
      <c r="S285" s="1132"/>
    </row>
    <row r="286" spans="1:19" ht="64.150000000000006" customHeight="1" x14ac:dyDescent="0.25">
      <c r="A286" s="261" t="s">
        <v>286</v>
      </c>
      <c r="B286" s="193"/>
      <c r="C286" s="822" t="s">
        <v>287</v>
      </c>
      <c r="D286" s="822"/>
      <c r="E286" s="822"/>
      <c r="F286" s="822"/>
      <c r="G286" s="822"/>
      <c r="H286" s="822"/>
      <c r="I286" s="822"/>
      <c r="J286" s="822"/>
      <c r="K286" s="822"/>
      <c r="L286" s="269">
        <v>1</v>
      </c>
      <c r="M286" s="247"/>
      <c r="N286" s="1184"/>
      <c r="O286" s="1184"/>
      <c r="P286" s="1184"/>
      <c r="Q286" s="1184"/>
      <c r="R286" s="1184"/>
      <c r="S286" s="1184"/>
    </row>
    <row r="287" spans="1:19" x14ac:dyDescent="0.25">
      <c r="A287" s="1165" t="s">
        <v>1025</v>
      </c>
      <c r="B287" s="1165"/>
      <c r="C287" s="1165"/>
      <c r="D287" s="1165"/>
      <c r="E287" s="1165"/>
      <c r="F287" s="1165"/>
      <c r="G287" s="1165"/>
      <c r="H287" s="1165"/>
      <c r="I287" s="1165"/>
      <c r="J287" s="1165"/>
      <c r="K287" s="1165"/>
      <c r="L287" s="1165"/>
      <c r="M287" s="1165"/>
      <c r="N287" s="1165"/>
      <c r="O287" s="1165"/>
      <c r="P287" s="1165"/>
      <c r="Q287" s="1165"/>
      <c r="R287" s="1165"/>
      <c r="S287" s="1165"/>
    </row>
    <row r="288" spans="1:19" ht="31.15" customHeight="1" x14ac:dyDescent="0.25">
      <c r="A288" s="261" t="s">
        <v>288</v>
      </c>
      <c r="B288" s="193"/>
      <c r="C288" s="643" t="s">
        <v>959</v>
      </c>
      <c r="D288" s="643"/>
      <c r="E288" s="643"/>
      <c r="F288" s="643"/>
      <c r="G288" s="643"/>
      <c r="H288" s="643"/>
      <c r="I288" s="643"/>
      <c r="J288" s="643"/>
      <c r="K288" s="643"/>
      <c r="L288" s="118">
        <v>1</v>
      </c>
      <c r="M288" s="214"/>
      <c r="N288" s="1132"/>
      <c r="O288" s="1132"/>
      <c r="P288" s="1132"/>
      <c r="Q288" s="1132"/>
      <c r="R288" s="1132"/>
      <c r="S288" s="1132"/>
    </row>
    <row r="289" spans="1:19" ht="31.9" customHeight="1" x14ac:dyDescent="0.25">
      <c r="A289" s="261" t="s">
        <v>289</v>
      </c>
      <c r="B289" s="193"/>
      <c r="C289" s="615" t="s">
        <v>906</v>
      </c>
      <c r="D289" s="615"/>
      <c r="E289" s="615"/>
      <c r="F289" s="615"/>
      <c r="G289" s="615"/>
      <c r="H289" s="615"/>
      <c r="I289" s="615"/>
      <c r="J289" s="615"/>
      <c r="K289" s="615"/>
      <c r="L289" s="118">
        <v>1</v>
      </c>
      <c r="M289" s="214"/>
      <c r="N289" s="1132"/>
      <c r="O289" s="1132"/>
      <c r="P289" s="1132"/>
      <c r="Q289" s="1132"/>
      <c r="R289" s="1132"/>
      <c r="S289" s="1132"/>
    </row>
    <row r="290" spans="1:19" ht="36.75" customHeight="1" x14ac:dyDescent="0.25">
      <c r="A290" s="261" t="s">
        <v>290</v>
      </c>
      <c r="B290" s="193"/>
      <c r="C290" s="615" t="s">
        <v>291</v>
      </c>
      <c r="D290" s="615"/>
      <c r="E290" s="615"/>
      <c r="F290" s="615"/>
      <c r="G290" s="615"/>
      <c r="H290" s="615"/>
      <c r="I290" s="615"/>
      <c r="J290" s="615"/>
      <c r="K290" s="615"/>
      <c r="L290" s="118">
        <v>1</v>
      </c>
      <c r="M290" s="214"/>
      <c r="N290" s="1132"/>
      <c r="O290" s="1132"/>
      <c r="P290" s="1132"/>
      <c r="Q290" s="1132"/>
      <c r="R290" s="1132"/>
      <c r="S290" s="1132"/>
    </row>
    <row r="291" spans="1:19" x14ac:dyDescent="0.25">
      <c r="A291" s="261" t="s">
        <v>292</v>
      </c>
      <c r="B291" s="194"/>
      <c r="C291" s="615" t="s">
        <v>293</v>
      </c>
      <c r="D291" s="615"/>
      <c r="E291" s="615"/>
      <c r="F291" s="615"/>
      <c r="G291" s="615"/>
      <c r="H291" s="615"/>
      <c r="I291" s="615"/>
      <c r="J291" s="615"/>
      <c r="K291" s="615"/>
      <c r="L291" s="118"/>
      <c r="M291" s="118"/>
      <c r="N291" s="1186"/>
      <c r="O291" s="1186"/>
      <c r="P291" s="1186"/>
      <c r="Q291" s="1186"/>
      <c r="R291" s="1186"/>
      <c r="S291" s="1186"/>
    </row>
    <row r="292" spans="1:19" x14ac:dyDescent="0.25">
      <c r="A292" s="257"/>
      <c r="B292" s="195"/>
      <c r="C292" s="615" t="s">
        <v>294</v>
      </c>
      <c r="D292" s="615"/>
      <c r="E292" s="615"/>
      <c r="F292" s="615"/>
      <c r="G292" s="615"/>
      <c r="H292" s="615"/>
      <c r="I292" s="615"/>
      <c r="J292" s="615"/>
      <c r="K292" s="615"/>
      <c r="L292" s="118">
        <v>1</v>
      </c>
      <c r="M292" s="214"/>
      <c r="N292" s="1132"/>
      <c r="O292" s="1132"/>
      <c r="P292" s="1132"/>
      <c r="Q292" s="1132"/>
      <c r="R292" s="1132"/>
      <c r="S292" s="1132"/>
    </row>
    <row r="293" spans="1:19" x14ac:dyDescent="0.25">
      <c r="A293" s="257"/>
      <c r="B293" s="195"/>
      <c r="C293" s="615" t="s">
        <v>295</v>
      </c>
      <c r="D293" s="615"/>
      <c r="E293" s="615"/>
      <c r="F293" s="615"/>
      <c r="G293" s="615"/>
      <c r="H293" s="615"/>
      <c r="I293" s="615"/>
      <c r="J293" s="615"/>
      <c r="K293" s="615"/>
      <c r="L293" s="118">
        <v>1</v>
      </c>
      <c r="M293" s="214"/>
      <c r="N293" s="1132"/>
      <c r="O293" s="1132"/>
      <c r="P293" s="1132"/>
      <c r="Q293" s="1132"/>
      <c r="R293" s="1132"/>
      <c r="S293" s="1132"/>
    </row>
    <row r="294" spans="1:19" x14ac:dyDescent="0.25">
      <c r="A294" s="260"/>
      <c r="B294" s="196"/>
      <c r="C294" s="615" t="s">
        <v>296</v>
      </c>
      <c r="D294" s="615"/>
      <c r="E294" s="615"/>
      <c r="F294" s="615"/>
      <c r="G294" s="615"/>
      <c r="H294" s="615"/>
      <c r="I294" s="615"/>
      <c r="J294" s="615"/>
      <c r="K294" s="615"/>
      <c r="L294" s="118">
        <v>1</v>
      </c>
      <c r="M294" s="214"/>
      <c r="N294" s="1132"/>
      <c r="O294" s="1132"/>
      <c r="P294" s="1132"/>
      <c r="Q294" s="1132"/>
      <c r="R294" s="1132"/>
      <c r="S294" s="1132"/>
    </row>
    <row r="295" spans="1:19" x14ac:dyDescent="0.25">
      <c r="A295" s="261" t="s">
        <v>297</v>
      </c>
      <c r="B295" s="193"/>
      <c r="C295" s="822" t="s">
        <v>298</v>
      </c>
      <c r="D295" s="822"/>
      <c r="E295" s="822"/>
      <c r="F295" s="822"/>
      <c r="G295" s="822"/>
      <c r="H295" s="822"/>
      <c r="I295" s="822"/>
      <c r="J295" s="822"/>
      <c r="K295" s="822"/>
      <c r="L295" s="269">
        <v>3</v>
      </c>
      <c r="M295" s="247"/>
      <c r="N295" s="1184"/>
      <c r="O295" s="1184"/>
      <c r="P295" s="1184"/>
      <c r="Q295" s="1184"/>
      <c r="R295" s="1184"/>
      <c r="S295" s="1184"/>
    </row>
    <row r="296" spans="1:19" ht="90.6" customHeight="1" x14ac:dyDescent="0.25">
      <c r="A296" s="261" t="s">
        <v>1026</v>
      </c>
      <c r="B296" s="194"/>
      <c r="C296" s="643" t="s">
        <v>1357</v>
      </c>
      <c r="D296" s="643"/>
      <c r="E296" s="643"/>
      <c r="F296" s="643"/>
      <c r="G296" s="643"/>
      <c r="H296" s="643"/>
      <c r="I296" s="643"/>
      <c r="J296" s="643"/>
      <c r="K296" s="643"/>
      <c r="L296" s="269"/>
      <c r="M296" s="118"/>
      <c r="N296" s="1188" t="s">
        <v>1028</v>
      </c>
      <c r="O296" s="1188"/>
      <c r="P296" s="1188"/>
      <c r="Q296" s="1188"/>
      <c r="R296" s="1188"/>
      <c r="S296" s="1188"/>
    </row>
    <row r="297" spans="1:19" ht="31.9" customHeight="1" x14ac:dyDescent="0.25">
      <c r="A297" s="257"/>
      <c r="B297" s="195"/>
      <c r="C297" s="1100" t="s">
        <v>1027</v>
      </c>
      <c r="D297" s="1100"/>
      <c r="E297" s="1100"/>
      <c r="F297" s="1100"/>
      <c r="G297" s="1100"/>
      <c r="H297" s="1100"/>
      <c r="I297" s="1100"/>
      <c r="J297" s="1100"/>
      <c r="K297" s="1100"/>
      <c r="L297" s="269">
        <v>1</v>
      </c>
      <c r="M297" s="247"/>
      <c r="N297" s="1132"/>
      <c r="O297" s="1187"/>
      <c r="P297" s="1187"/>
      <c r="Q297" s="1187"/>
      <c r="R297" s="1187"/>
      <c r="S297" s="1187"/>
    </row>
    <row r="298" spans="1:19" ht="44.65" customHeight="1" x14ac:dyDescent="0.25">
      <c r="A298" s="260"/>
      <c r="B298" s="196"/>
      <c r="C298" s="1100" t="s">
        <v>1050</v>
      </c>
      <c r="D298" s="1100"/>
      <c r="E298" s="1100"/>
      <c r="F298" s="1100"/>
      <c r="G298" s="1100"/>
      <c r="H298" s="1100"/>
      <c r="I298" s="1100"/>
      <c r="J298" s="1100"/>
      <c r="K298" s="1100"/>
      <c r="L298" s="246" t="s">
        <v>1029</v>
      </c>
      <c r="M298" s="247"/>
      <c r="N298" s="1132"/>
      <c r="O298" s="1187"/>
      <c r="P298" s="1187"/>
      <c r="Q298" s="1187"/>
      <c r="R298" s="1187"/>
      <c r="S298" s="1187"/>
    </row>
    <row r="299" spans="1:19" x14ac:dyDescent="0.25">
      <c r="A299" s="1165" t="s">
        <v>299</v>
      </c>
      <c r="B299" s="1165"/>
      <c r="C299" s="1165"/>
      <c r="D299" s="1165"/>
      <c r="E299" s="1165"/>
      <c r="F299" s="1165"/>
      <c r="G299" s="1165"/>
      <c r="H299" s="1165"/>
      <c r="I299" s="1165"/>
      <c r="J299" s="1165"/>
      <c r="K299" s="1165"/>
      <c r="L299" s="1165"/>
      <c r="M299" s="1165"/>
      <c r="N299" s="1165"/>
      <c r="O299" s="1165"/>
      <c r="P299" s="1165"/>
      <c r="Q299" s="1165"/>
      <c r="R299" s="1165"/>
      <c r="S299" s="1165"/>
    </row>
    <row r="300" spans="1:19" ht="16.149999999999999" customHeight="1" x14ac:dyDescent="0.25">
      <c r="A300" s="261" t="s">
        <v>300</v>
      </c>
      <c r="B300" s="193"/>
      <c r="C300" s="615" t="s">
        <v>973</v>
      </c>
      <c r="D300" s="615"/>
      <c r="E300" s="615"/>
      <c r="F300" s="615"/>
      <c r="G300" s="615"/>
      <c r="H300" s="615"/>
      <c r="I300" s="615"/>
      <c r="J300" s="615"/>
      <c r="K300" s="615"/>
      <c r="L300" s="118">
        <v>1</v>
      </c>
      <c r="M300" s="214"/>
      <c r="N300" s="1132"/>
      <c r="O300" s="1132"/>
      <c r="P300" s="1132"/>
      <c r="Q300" s="1132"/>
      <c r="R300" s="1132"/>
      <c r="S300" s="1132"/>
    </row>
    <row r="301" spans="1:19" ht="32.450000000000003" customHeight="1" x14ac:dyDescent="0.25">
      <c r="A301" s="261" t="s">
        <v>301</v>
      </c>
      <c r="B301" s="197"/>
      <c r="C301" s="615" t="s">
        <v>907</v>
      </c>
      <c r="D301" s="615"/>
      <c r="E301" s="615"/>
      <c r="F301" s="615"/>
      <c r="G301" s="615"/>
      <c r="H301" s="615"/>
      <c r="I301" s="615"/>
      <c r="J301" s="615"/>
      <c r="K301" s="615"/>
      <c r="L301" s="118">
        <v>1</v>
      </c>
      <c r="M301" s="214"/>
      <c r="N301" s="1132"/>
      <c r="O301" s="1132"/>
      <c r="P301" s="1132"/>
      <c r="Q301" s="1132"/>
      <c r="R301" s="1132"/>
      <c r="S301" s="1132"/>
    </row>
    <row r="302" spans="1:19" ht="45.6" customHeight="1" x14ac:dyDescent="0.25">
      <c r="A302" s="198" t="s">
        <v>302</v>
      </c>
      <c r="B302" s="196"/>
      <c r="C302" s="696" t="s">
        <v>908</v>
      </c>
      <c r="D302" s="615"/>
      <c r="E302" s="615"/>
      <c r="F302" s="615"/>
      <c r="G302" s="615"/>
      <c r="H302" s="615"/>
      <c r="I302" s="615"/>
      <c r="J302" s="615"/>
      <c r="K302" s="615"/>
      <c r="L302" s="118">
        <v>1</v>
      </c>
      <c r="M302" s="214"/>
      <c r="N302" s="1132"/>
      <c r="O302" s="1132"/>
      <c r="P302" s="1132"/>
      <c r="Q302" s="1132"/>
      <c r="R302" s="1132"/>
      <c r="S302" s="1132"/>
    </row>
    <row r="303" spans="1:19" ht="31.15" customHeight="1" x14ac:dyDescent="0.25">
      <c r="A303" s="199" t="s">
        <v>303</v>
      </c>
      <c r="B303" s="197"/>
      <c r="C303" s="1189" t="s">
        <v>974</v>
      </c>
      <c r="D303" s="1190"/>
      <c r="E303" s="1190"/>
      <c r="F303" s="1190"/>
      <c r="G303" s="1190"/>
      <c r="H303" s="1190"/>
      <c r="I303" s="1190"/>
      <c r="J303" s="1190"/>
      <c r="K303" s="1190"/>
      <c r="L303" s="118">
        <v>1</v>
      </c>
      <c r="M303" s="214"/>
      <c r="N303" s="1132"/>
      <c r="O303" s="1132"/>
      <c r="P303" s="1132"/>
      <c r="Q303" s="1132"/>
      <c r="R303" s="1132"/>
      <c r="S303" s="1132"/>
    </row>
    <row r="304" spans="1:19" x14ac:dyDescent="0.25">
      <c r="A304" s="1191" t="s">
        <v>304</v>
      </c>
      <c r="B304" s="1192"/>
      <c r="C304" s="1192"/>
      <c r="D304" s="1192"/>
      <c r="E304" s="1192"/>
      <c r="F304" s="1192"/>
      <c r="G304" s="1192"/>
      <c r="H304" s="1192"/>
      <c r="I304" s="1192"/>
      <c r="J304" s="1192"/>
      <c r="K304" s="1192"/>
      <c r="L304" s="1192"/>
      <c r="M304" s="1192"/>
      <c r="N304" s="1192"/>
      <c r="O304" s="1192"/>
      <c r="P304" s="1192"/>
      <c r="Q304" s="1192"/>
      <c r="R304" s="1192"/>
      <c r="S304" s="1193"/>
    </row>
    <row r="305" spans="1:22" ht="45" customHeight="1" x14ac:dyDescent="0.25">
      <c r="A305" s="261" t="s">
        <v>305</v>
      </c>
      <c r="B305" s="193"/>
      <c r="C305" s="761" t="s">
        <v>1358</v>
      </c>
      <c r="D305" s="695"/>
      <c r="E305" s="695"/>
      <c r="F305" s="695"/>
      <c r="G305" s="695"/>
      <c r="H305" s="695"/>
      <c r="I305" s="695"/>
      <c r="J305" s="695"/>
      <c r="K305" s="696"/>
      <c r="L305" s="227" t="s">
        <v>306</v>
      </c>
      <c r="M305" s="214"/>
      <c r="N305" s="640"/>
      <c r="O305" s="641"/>
      <c r="P305" s="641"/>
      <c r="Q305" s="641"/>
      <c r="R305" s="641"/>
      <c r="S305" s="642"/>
    </row>
    <row r="306" spans="1:22" ht="45" customHeight="1" x14ac:dyDescent="0.25">
      <c r="A306" s="261" t="s">
        <v>307</v>
      </c>
      <c r="B306" s="193"/>
      <c r="C306" s="615" t="s">
        <v>1359</v>
      </c>
      <c r="D306" s="615"/>
      <c r="E306" s="615"/>
      <c r="F306" s="615"/>
      <c r="G306" s="615"/>
      <c r="H306" s="615"/>
      <c r="I306" s="615"/>
      <c r="J306" s="615"/>
      <c r="K306" s="615"/>
      <c r="L306" s="227" t="s">
        <v>306</v>
      </c>
      <c r="M306" s="214"/>
      <c r="N306" s="1132"/>
      <c r="O306" s="1132"/>
      <c r="P306" s="1132"/>
      <c r="Q306" s="1132"/>
      <c r="R306" s="1132"/>
      <c r="S306" s="1132"/>
    </row>
    <row r="307" spans="1:22" ht="45" customHeight="1" x14ac:dyDescent="0.25">
      <c r="A307" s="261" t="s">
        <v>308</v>
      </c>
      <c r="B307" s="193"/>
      <c r="C307" s="615" t="s">
        <v>1360</v>
      </c>
      <c r="D307" s="615"/>
      <c r="E307" s="615"/>
      <c r="F307" s="615"/>
      <c r="G307" s="615"/>
      <c r="H307" s="615"/>
      <c r="I307" s="615"/>
      <c r="J307" s="615"/>
      <c r="K307" s="615"/>
      <c r="L307" s="227" t="s">
        <v>306</v>
      </c>
      <c r="M307" s="214"/>
      <c r="N307" s="1132"/>
      <c r="O307" s="1132"/>
      <c r="P307" s="1132"/>
      <c r="Q307" s="1132"/>
      <c r="R307" s="1132"/>
      <c r="S307" s="1132"/>
    </row>
    <row r="308" spans="1:22" ht="48.75" customHeight="1" x14ac:dyDescent="0.25">
      <c r="A308" s="261" t="s">
        <v>309</v>
      </c>
      <c r="B308" s="193"/>
      <c r="C308" s="615" t="s">
        <v>1023</v>
      </c>
      <c r="D308" s="615"/>
      <c r="E308" s="615"/>
      <c r="F308" s="615"/>
      <c r="G308" s="615"/>
      <c r="H308" s="615"/>
      <c r="I308" s="615"/>
      <c r="J308" s="615"/>
      <c r="K308" s="615"/>
      <c r="L308" s="118">
        <v>0.5</v>
      </c>
      <c r="M308" s="214"/>
      <c r="N308" s="1132"/>
      <c r="O308" s="1132"/>
      <c r="P308" s="1132"/>
      <c r="Q308" s="1132"/>
      <c r="R308" s="1132"/>
      <c r="S308" s="1132"/>
    </row>
    <row r="309" spans="1:22" ht="30" customHeight="1" x14ac:dyDescent="0.25">
      <c r="A309" s="261" t="s">
        <v>310</v>
      </c>
      <c r="B309" s="193"/>
      <c r="C309" s="643" t="s">
        <v>1024</v>
      </c>
      <c r="D309" s="643"/>
      <c r="E309" s="643"/>
      <c r="F309" s="643"/>
      <c r="G309" s="643"/>
      <c r="H309" s="643"/>
      <c r="I309" s="643"/>
      <c r="J309" s="643"/>
      <c r="K309" s="643"/>
      <c r="L309" s="118">
        <v>0.5</v>
      </c>
      <c r="M309" s="214"/>
      <c r="N309" s="1132"/>
      <c r="O309" s="1132"/>
      <c r="P309" s="1132"/>
      <c r="Q309" s="1132"/>
      <c r="R309" s="1132"/>
      <c r="S309" s="1132"/>
    </row>
    <row r="310" spans="1:22" ht="30" customHeight="1" x14ac:dyDescent="0.25">
      <c r="A310" s="261" t="s">
        <v>311</v>
      </c>
      <c r="B310" s="193"/>
      <c r="C310" s="822" t="s">
        <v>909</v>
      </c>
      <c r="D310" s="822"/>
      <c r="E310" s="822"/>
      <c r="F310" s="822"/>
      <c r="G310" s="822"/>
      <c r="H310" s="822"/>
      <c r="I310" s="822"/>
      <c r="J310" s="822"/>
      <c r="K310" s="822"/>
      <c r="L310" s="200">
        <v>0.5</v>
      </c>
      <c r="M310" s="247"/>
      <c r="N310" s="1184"/>
      <c r="O310" s="1184"/>
      <c r="P310" s="1184"/>
      <c r="Q310" s="1184"/>
      <c r="R310" s="1184"/>
      <c r="S310" s="1184"/>
    </row>
    <row r="311" spans="1:22" ht="21" x14ac:dyDescent="0.25">
      <c r="A311" s="1202" t="s">
        <v>853</v>
      </c>
      <c r="B311" s="1203"/>
      <c r="C311" s="1203"/>
      <c r="D311" s="1203"/>
      <c r="E311" s="1203"/>
      <c r="F311" s="1203"/>
      <c r="G311" s="1203"/>
      <c r="H311" s="1203"/>
      <c r="I311" s="1203"/>
      <c r="J311" s="1203"/>
      <c r="K311" s="1203"/>
      <c r="L311" s="201"/>
      <c r="M311" s="201"/>
      <c r="N311" s="202"/>
      <c r="O311" s="202"/>
      <c r="P311" s="202"/>
      <c r="Q311" s="202"/>
      <c r="R311" s="202"/>
      <c r="S311" s="203"/>
    </row>
    <row r="312" spans="1:22" ht="30" customHeight="1" x14ac:dyDescent="0.25">
      <c r="A312" s="257"/>
      <c r="B312" s="204"/>
      <c r="C312" s="1204" t="s">
        <v>849</v>
      </c>
      <c r="D312" s="1204"/>
      <c r="E312" s="1204"/>
      <c r="F312" s="1204"/>
      <c r="G312" s="1204"/>
      <c r="H312" s="1204"/>
      <c r="I312" s="1204"/>
      <c r="J312" s="1204"/>
      <c r="K312" s="1204"/>
      <c r="L312" s="1205" t="s">
        <v>99</v>
      </c>
      <c r="M312" s="1205"/>
      <c r="N312" s="1206"/>
      <c r="O312" s="1206"/>
      <c r="P312" s="1206"/>
      <c r="Q312" s="1206"/>
      <c r="R312" s="1206"/>
      <c r="S312" s="1207"/>
    </row>
    <row r="313" spans="1:22" ht="10.15" customHeight="1" x14ac:dyDescent="0.25">
      <c r="A313" s="1173"/>
      <c r="B313" s="1206"/>
      <c r="C313" s="1206"/>
      <c r="D313" s="1206"/>
      <c r="E313" s="1206"/>
      <c r="F313" s="1206"/>
      <c r="G313" s="1206"/>
      <c r="H313" s="1206"/>
      <c r="I313" s="1206"/>
      <c r="J313" s="1206"/>
      <c r="K313" s="1206"/>
      <c r="L313" s="1206"/>
      <c r="M313" s="1206"/>
      <c r="N313" s="1206"/>
      <c r="O313" s="1206"/>
      <c r="P313" s="1206"/>
      <c r="Q313" s="1206"/>
      <c r="R313" s="1206"/>
      <c r="S313" s="1207"/>
    </row>
    <row r="314" spans="1:22" ht="18" customHeight="1" x14ac:dyDescent="0.25">
      <c r="A314" s="257"/>
      <c r="B314" s="204"/>
      <c r="C314" s="1055" t="s">
        <v>857</v>
      </c>
      <c r="D314" s="1055"/>
      <c r="E314" s="1055"/>
      <c r="F314" s="1055"/>
      <c r="G314" s="1055"/>
      <c r="H314" s="1055"/>
      <c r="I314" s="1055"/>
      <c r="J314" s="1056" t="s">
        <v>825</v>
      </c>
      <c r="K314" s="1056"/>
      <c r="L314" s="159">
        <v>47.5</v>
      </c>
      <c r="M314" s="159">
        <f>SUM(M269,M272,M273,M274,M275,M276,M277,M278,M279,M280,M281,M283,M284,M285,M286,M288,M289,M290,M292,M293,M294,M295,M297,M298,M300,M301,M302,M303,M308,M309,M310)</f>
        <v>0</v>
      </c>
      <c r="N314" s="1057" t="s">
        <v>826</v>
      </c>
      <c r="O314" s="1208"/>
      <c r="P314" s="1208"/>
      <c r="Q314" s="1209"/>
      <c r="R314" s="1206"/>
      <c r="S314" s="1207"/>
    </row>
    <row r="315" spans="1:22" ht="18" customHeight="1" x14ac:dyDescent="0.25">
      <c r="A315" s="257"/>
      <c r="B315" s="204"/>
      <c r="C315" s="763" t="s">
        <v>1242</v>
      </c>
      <c r="D315" s="1210"/>
      <c r="E315" s="1210"/>
      <c r="F315" s="1210"/>
      <c r="G315" s="1210"/>
      <c r="H315" s="1210"/>
      <c r="I315" s="1210"/>
      <c r="J315" s="1210"/>
      <c r="K315" s="1210"/>
      <c r="L315" s="1210"/>
      <c r="M315" s="1210"/>
      <c r="N315" s="1211"/>
      <c r="O315" s="772" t="s">
        <v>53</v>
      </c>
      <c r="P315" s="773"/>
      <c r="Q315" s="774"/>
      <c r="R315" s="1206"/>
      <c r="S315" s="1207"/>
    </row>
    <row r="316" spans="1:22" ht="39" customHeight="1" x14ac:dyDescent="0.25">
      <c r="A316" s="257"/>
      <c r="B316" s="204"/>
      <c r="C316" s="763" t="s">
        <v>1240</v>
      </c>
      <c r="D316" s="1210"/>
      <c r="E316" s="1210"/>
      <c r="F316" s="1210"/>
      <c r="G316" s="1210"/>
      <c r="H316" s="1210"/>
      <c r="I316" s="1210"/>
      <c r="J316" s="1210"/>
      <c r="K316" s="1210"/>
      <c r="L316" s="1210"/>
      <c r="M316" s="1210"/>
      <c r="N316" s="1211"/>
      <c r="O316" s="714" t="s">
        <v>1241</v>
      </c>
      <c r="P316" s="1007"/>
      <c r="Q316" s="1008"/>
      <c r="R316" s="258"/>
      <c r="S316" s="259"/>
    </row>
    <row r="317" spans="1:22" ht="10.15" customHeight="1" x14ac:dyDescent="0.25">
      <c r="A317" s="1212"/>
      <c r="B317" s="1213"/>
      <c r="C317" s="1213"/>
      <c r="D317" s="1213"/>
      <c r="E317" s="1213"/>
      <c r="F317" s="1213"/>
      <c r="G317" s="1213"/>
      <c r="H317" s="1213"/>
      <c r="I317" s="1213"/>
      <c r="J317" s="1213"/>
      <c r="K317" s="1213"/>
      <c r="L317" s="1213"/>
      <c r="M317" s="1213"/>
      <c r="N317" s="1213"/>
      <c r="O317" s="1213"/>
      <c r="P317" s="1213"/>
      <c r="Q317" s="1213"/>
      <c r="R317" s="1213"/>
      <c r="S317" s="1214"/>
    </row>
    <row r="318" spans="1:22" ht="10.15" customHeight="1" x14ac:dyDescent="0.25">
      <c r="A318" s="1215"/>
      <c r="B318" s="1216"/>
      <c r="C318" s="1216"/>
      <c r="D318" s="1216"/>
      <c r="E318" s="1216"/>
      <c r="F318" s="1216"/>
      <c r="G318" s="1216"/>
      <c r="H318" s="1216"/>
      <c r="I318" s="1216"/>
      <c r="J318" s="1216"/>
      <c r="K318" s="1216"/>
      <c r="L318" s="1216"/>
      <c r="M318" s="1216"/>
      <c r="N318" s="1216"/>
      <c r="O318" s="1216"/>
      <c r="P318" s="1216"/>
      <c r="Q318" s="1216"/>
      <c r="R318" s="1216"/>
      <c r="S318" s="1217"/>
      <c r="T318" s="205"/>
    </row>
    <row r="319" spans="1:22" ht="30" customHeight="1" x14ac:dyDescent="0.25">
      <c r="A319" s="1252" t="s">
        <v>858</v>
      </c>
      <c r="B319" s="1253"/>
      <c r="C319" s="1253"/>
      <c r="D319" s="1253"/>
      <c r="E319" s="1253"/>
      <c r="F319" s="1253"/>
      <c r="G319" s="1253"/>
      <c r="H319" s="1253"/>
      <c r="I319" s="1253"/>
      <c r="J319" s="1253"/>
      <c r="K319" s="1253"/>
      <c r="L319" s="1254"/>
      <c r="M319" s="1254"/>
      <c r="N319" s="1255"/>
      <c r="O319" s="1255"/>
      <c r="P319" s="1255"/>
      <c r="Q319" s="1255"/>
      <c r="R319" s="1255"/>
      <c r="S319" s="1256"/>
      <c r="T319" s="205"/>
      <c r="U319" s="1245" t="s">
        <v>1243</v>
      </c>
      <c r="V319" s="1245"/>
    </row>
    <row r="320" spans="1:22" ht="30" customHeight="1" x14ac:dyDescent="0.25">
      <c r="A320" s="1247"/>
      <c r="B320" s="1248"/>
      <c r="C320" s="1249" t="s">
        <v>859</v>
      </c>
      <c r="D320" s="1249"/>
      <c r="E320" s="1249"/>
      <c r="F320" s="1249"/>
      <c r="G320" s="1249"/>
      <c r="H320" s="1249"/>
      <c r="I320" s="1249"/>
      <c r="J320" s="1249"/>
      <c r="K320" s="1249"/>
      <c r="L320" s="1250" t="str">
        <f>IF(V325=4,"EMERALD",IF(V325=3,"GOLD",IF(V325=0,"CANNOT CERTIFY","?????")))</f>
        <v>CANNOT CERTIFY</v>
      </c>
      <c r="M320" s="1250"/>
      <c r="N320" s="1226"/>
      <c r="O320" s="1226"/>
      <c r="P320" s="1226"/>
      <c r="Q320" s="1226"/>
      <c r="R320" s="1226"/>
      <c r="S320" s="1227"/>
      <c r="T320" s="205"/>
      <c r="U320" s="1245"/>
      <c r="V320" s="1245"/>
    </row>
    <row r="321" spans="1:22" ht="10.15" customHeight="1" x14ac:dyDescent="0.25">
      <c r="A321" s="1251"/>
      <c r="B321" s="1226"/>
      <c r="C321" s="1226"/>
      <c r="D321" s="1226"/>
      <c r="E321" s="1226"/>
      <c r="F321" s="1226"/>
      <c r="G321" s="1226"/>
      <c r="H321" s="1226"/>
      <c r="I321" s="1226"/>
      <c r="J321" s="1226"/>
      <c r="K321" s="1226"/>
      <c r="L321" s="1226"/>
      <c r="M321" s="1226"/>
      <c r="N321" s="1226"/>
      <c r="O321" s="1226"/>
      <c r="P321" s="1226"/>
      <c r="Q321" s="1226"/>
      <c r="R321" s="1226"/>
      <c r="S321" s="1227"/>
      <c r="T321" s="205"/>
      <c r="U321" s="1245"/>
      <c r="V321" s="1245"/>
    </row>
    <row r="322" spans="1:22" ht="18.75" customHeight="1" x14ac:dyDescent="0.25">
      <c r="A322" s="1257"/>
      <c r="B322" s="1258"/>
      <c r="C322" s="1260" t="s">
        <v>860</v>
      </c>
      <c r="D322" s="1260"/>
      <c r="E322" s="1260"/>
      <c r="F322" s="1260"/>
      <c r="G322" s="1260"/>
      <c r="H322" s="1260"/>
      <c r="I322" s="1260"/>
      <c r="J322" s="1261" t="s">
        <v>825</v>
      </c>
      <c r="K322" s="1261"/>
      <c r="L322" s="206">
        <f>SUM(L108,L158,L262,L314)</f>
        <v>194.75</v>
      </c>
      <c r="M322" s="206">
        <f>SUM(M108,M158,M262,M314)</f>
        <v>0</v>
      </c>
      <c r="N322" s="1194" t="s">
        <v>826</v>
      </c>
      <c r="O322" s="1195"/>
      <c r="P322" s="1195"/>
      <c r="Q322" s="1196"/>
      <c r="R322" s="254"/>
      <c r="S322" s="255"/>
      <c r="T322" s="205"/>
      <c r="U322" s="1245"/>
      <c r="V322" s="1245"/>
    </row>
    <row r="323" spans="1:22" ht="18.75" customHeight="1" thickBot="1" x14ac:dyDescent="0.3">
      <c r="A323" s="1257"/>
      <c r="B323" s="1258"/>
      <c r="C323" s="1197" t="s">
        <v>1382</v>
      </c>
      <c r="D323" s="1198"/>
      <c r="E323" s="1198"/>
      <c r="F323" s="1198"/>
      <c r="G323" s="1198"/>
      <c r="H323" s="1198"/>
      <c r="I323" s="1198"/>
      <c r="J323" s="1198"/>
      <c r="K323" s="1198"/>
      <c r="L323" s="1198"/>
      <c r="M323" s="1198"/>
      <c r="N323" s="1198"/>
      <c r="O323" s="1198"/>
      <c r="P323" s="1198"/>
      <c r="Q323" s="1198"/>
      <c r="R323" s="254"/>
      <c r="S323" s="255"/>
      <c r="T323" s="205"/>
      <c r="U323" s="1246"/>
      <c r="V323" s="1246"/>
    </row>
    <row r="324" spans="1:22" ht="18.75" customHeight="1" thickTop="1" thickBot="1" x14ac:dyDescent="0.3">
      <c r="A324" s="1259"/>
      <c r="B324" s="1226"/>
      <c r="C324" s="1199" t="s">
        <v>861</v>
      </c>
      <c r="D324" s="1200"/>
      <c r="E324" s="1200"/>
      <c r="F324" s="1200"/>
      <c r="G324" s="1200"/>
      <c r="H324" s="1200"/>
      <c r="I324" s="1200"/>
      <c r="J324" s="1200"/>
      <c r="K324" s="1200"/>
      <c r="L324" s="1200"/>
      <c r="M324" s="1201"/>
      <c r="N324" s="1201"/>
      <c r="O324" s="1201"/>
      <c r="P324" s="1201"/>
      <c r="Q324" s="1201"/>
      <c r="R324" s="1226"/>
      <c r="S324" s="1227"/>
      <c r="T324" s="205"/>
      <c r="U324" s="237"/>
      <c r="V324" s="237"/>
    </row>
    <row r="325" spans="1:22" ht="18.75" customHeight="1" thickTop="1" x14ac:dyDescent="0.25">
      <c r="A325" s="1259"/>
      <c r="B325" s="1226"/>
      <c r="C325" s="1228" t="s">
        <v>862</v>
      </c>
      <c r="D325" s="1228"/>
      <c r="E325" s="1228"/>
      <c r="F325" s="1228"/>
      <c r="G325" s="1228"/>
      <c r="H325" s="1228"/>
      <c r="I325" s="1228"/>
      <c r="J325" s="1228"/>
      <c r="K325" s="1228"/>
      <c r="L325" s="1229"/>
      <c r="M325" s="1230" t="str">
        <f>L106</f>
        <v>CANNOT CERTIFY</v>
      </c>
      <c r="N325" s="1230"/>
      <c r="O325" s="1232"/>
      <c r="P325" s="1233"/>
      <c r="Q325" s="1233"/>
      <c r="R325" s="1226"/>
      <c r="S325" s="1227"/>
      <c r="T325" s="205"/>
      <c r="U325" s="237">
        <f>IF(M325="Emerald",4,IF(M325="Gold",3,IF(M325="CANNOT CERTIFY",0,"???")))</f>
        <v>0</v>
      </c>
      <c r="V325" s="1218">
        <f>MIN(U325:U329)</f>
        <v>0</v>
      </c>
    </row>
    <row r="326" spans="1:22" ht="18.75" customHeight="1" x14ac:dyDescent="0.25">
      <c r="A326" s="1259"/>
      <c r="B326" s="1226"/>
      <c r="C326" s="1221" t="s">
        <v>863</v>
      </c>
      <c r="D326" s="1221"/>
      <c r="E326" s="1221"/>
      <c r="F326" s="1221"/>
      <c r="G326" s="1221"/>
      <c r="H326" s="1221"/>
      <c r="I326" s="1221"/>
      <c r="J326" s="1221"/>
      <c r="K326" s="1221"/>
      <c r="L326" s="1222"/>
      <c r="M326" s="1223" t="str">
        <f>L156</f>
        <v>CANNOT CERTIFY</v>
      </c>
      <c r="N326" s="1223"/>
      <c r="O326" s="1234"/>
      <c r="P326" s="1235"/>
      <c r="Q326" s="1235"/>
      <c r="R326" s="1226"/>
      <c r="S326" s="1227"/>
      <c r="T326" s="205"/>
      <c r="U326" s="237">
        <f>IF(M326="Emerald",4,IF(M326="Gold",3,IF(M326="CANNOT CERTIFY",0,"???")))</f>
        <v>0</v>
      </c>
      <c r="V326" s="1219"/>
    </row>
    <row r="327" spans="1:22" ht="18.75" customHeight="1" x14ac:dyDescent="0.25">
      <c r="A327" s="1259"/>
      <c r="B327" s="1226"/>
      <c r="C327" s="1221" t="s">
        <v>864</v>
      </c>
      <c r="D327" s="1221"/>
      <c r="E327" s="1221"/>
      <c r="F327" s="1221"/>
      <c r="G327" s="1221"/>
      <c r="H327" s="1221"/>
      <c r="I327" s="1221"/>
      <c r="J327" s="1221"/>
      <c r="K327" s="1221"/>
      <c r="L327" s="1222"/>
      <c r="M327" s="1223" t="str">
        <f>L260</f>
        <v>CANNOT CERTIFY</v>
      </c>
      <c r="N327" s="1223"/>
      <c r="O327" s="1234"/>
      <c r="P327" s="1235"/>
      <c r="Q327" s="1235"/>
      <c r="R327" s="1226"/>
      <c r="S327" s="1227"/>
      <c r="T327" s="205"/>
      <c r="U327" s="237">
        <f>IF(M327="Emerald",4,IF(M327="Gold",3,IF(M327="CANNOT CERTIFY",0,"???")))</f>
        <v>0</v>
      </c>
      <c r="V327" s="1219"/>
    </row>
    <row r="328" spans="1:22" ht="18.75" customHeight="1" x14ac:dyDescent="0.25">
      <c r="A328" s="1259"/>
      <c r="B328" s="1226"/>
      <c r="C328" s="1221" t="s">
        <v>865</v>
      </c>
      <c r="D328" s="1221"/>
      <c r="E328" s="1221"/>
      <c r="F328" s="1221"/>
      <c r="G328" s="1221"/>
      <c r="H328" s="1221"/>
      <c r="I328" s="1221"/>
      <c r="J328" s="1221"/>
      <c r="K328" s="1221"/>
      <c r="L328" s="1222"/>
      <c r="M328" s="1223" t="str">
        <f>L312</f>
        <v>Emerald</v>
      </c>
      <c r="N328" s="1223"/>
      <c r="O328" s="1234"/>
      <c r="P328" s="1235"/>
      <c r="Q328" s="1235"/>
      <c r="R328" s="1226"/>
      <c r="S328" s="1227"/>
      <c r="T328" s="205"/>
      <c r="U328" s="237">
        <f>IF(M328="Emerald",4,IF(M328="Gold",3,IF(M328="CANNOT CERTIFY",0,"???")))</f>
        <v>4</v>
      </c>
      <c r="V328" s="1219"/>
    </row>
    <row r="329" spans="1:22" ht="39" customHeight="1" x14ac:dyDescent="0.25">
      <c r="A329" s="1259"/>
      <c r="B329" s="1226"/>
      <c r="C329" s="1224" t="s">
        <v>1326</v>
      </c>
      <c r="D329" s="1225"/>
      <c r="E329" s="1225"/>
      <c r="F329" s="1225"/>
      <c r="G329" s="1225"/>
      <c r="H329" s="1225"/>
      <c r="I329" s="1225"/>
      <c r="J329" s="1225"/>
      <c r="K329" s="1225"/>
      <c r="L329" s="1225"/>
      <c r="M329" s="1231" t="str">
        <f>IF(M322&gt;=60,"Emerald",IF(M322&gt;=45,"Gold","Not Enough Points for Certification"))</f>
        <v>Not Enough Points for Certification</v>
      </c>
      <c r="N329" s="1231"/>
      <c r="O329" s="1234"/>
      <c r="P329" s="1235"/>
      <c r="Q329" s="1235"/>
      <c r="R329" s="1226"/>
      <c r="S329" s="1227"/>
      <c r="T329" s="205"/>
      <c r="U329" s="237">
        <f>IF(M329="Emerald",4,IF(M329="Gold",3,IF(M329="Not Enough Points for Certification",0,"???")))</f>
        <v>0</v>
      </c>
      <c r="V329" s="1220"/>
    </row>
    <row r="330" spans="1:22" ht="18.75" customHeight="1" x14ac:dyDescent="0.25">
      <c r="A330" s="1251"/>
      <c r="B330" s="1226"/>
      <c r="C330" s="1226"/>
      <c r="D330" s="1226"/>
      <c r="E330" s="1226"/>
      <c r="F330" s="1226"/>
      <c r="G330" s="1226"/>
      <c r="H330" s="1226"/>
      <c r="I330" s="1226"/>
      <c r="J330" s="1226"/>
      <c r="K330" s="1226"/>
      <c r="L330" s="1226"/>
      <c r="M330" s="1226"/>
      <c r="N330" s="1226"/>
      <c r="O330" s="1226"/>
      <c r="P330" s="1226"/>
      <c r="Q330" s="1226"/>
      <c r="R330" s="1226"/>
      <c r="S330" s="1227"/>
      <c r="T330" s="205"/>
    </row>
    <row r="331" spans="1:22" ht="10.15" customHeight="1" x14ac:dyDescent="0.25">
      <c r="A331" s="1247"/>
      <c r="B331" s="1248"/>
      <c r="C331" s="1288"/>
      <c r="D331" s="1288"/>
      <c r="E331" s="1288"/>
      <c r="F331" s="1288"/>
      <c r="G331" s="1288"/>
      <c r="H331" s="1288"/>
      <c r="I331" s="1288"/>
      <c r="J331" s="1288"/>
      <c r="K331" s="1288"/>
      <c r="L331" s="1288"/>
      <c r="M331" s="1288"/>
      <c r="N331" s="1288"/>
      <c r="O331" s="1288"/>
      <c r="P331" s="1288"/>
      <c r="Q331" s="1288"/>
      <c r="R331" s="254"/>
      <c r="S331" s="255"/>
      <c r="T331" s="205"/>
    </row>
    <row r="332" spans="1:22" ht="18.75" customHeight="1" x14ac:dyDescent="0.25">
      <c r="A332" s="1247"/>
      <c r="B332" s="1248"/>
      <c r="C332" s="1289" t="s">
        <v>866</v>
      </c>
      <c r="D332" s="1289"/>
      <c r="E332" s="1289"/>
      <c r="F332" s="1289"/>
      <c r="G332" s="1289"/>
      <c r="H332" s="1289"/>
      <c r="I332" s="1289"/>
      <c r="J332" s="1289"/>
      <c r="K332" s="1289"/>
      <c r="L332" s="1289"/>
      <c r="M332" s="1289" t="str">
        <f>IF(AND('3 Project Information'!H26="",'3 Project Information'!E26=""),"",IF('3 Project Information'!H26="",'3 Project Information'!E26,IF('3 Project Information'!E26="",'3 Project Information'!H26,'3 Project Information'!E26)))</f>
        <v/>
      </c>
      <c r="N332" s="1289"/>
      <c r="O332" s="1289"/>
      <c r="P332" s="1289"/>
      <c r="Q332" s="1289"/>
      <c r="R332" s="254"/>
      <c r="S332" s="255"/>
      <c r="T332" s="205"/>
    </row>
    <row r="333" spans="1:22" ht="18.75" customHeight="1" x14ac:dyDescent="0.25">
      <c r="A333" s="1247"/>
      <c r="B333" s="1248"/>
      <c r="C333" s="1267" t="s">
        <v>868</v>
      </c>
      <c r="D333" s="1267"/>
      <c r="E333" s="1267"/>
      <c r="F333" s="1267"/>
      <c r="G333" s="1267"/>
      <c r="H333" s="1267"/>
      <c r="I333" s="1267"/>
      <c r="J333" s="1267"/>
      <c r="K333" s="1267"/>
      <c r="L333" s="1267"/>
      <c r="M333" s="1267" t="str">
        <f>IF(AND('3 Project Information'!H25="",'3 Project Information'!E25=""),"",IF('3 Project Information'!H25="",'3 Project Information'!E25,IF('3 Project Information'!E25="",'3 Project Information'!H25,'3 Project Information'!E25)))</f>
        <v/>
      </c>
      <c r="N333" s="1267"/>
      <c r="O333" s="1267"/>
      <c r="P333" s="1267"/>
      <c r="Q333" s="1267"/>
      <c r="R333" s="254"/>
      <c r="S333" s="255"/>
      <c r="T333" s="205"/>
    </row>
    <row r="334" spans="1:22" ht="25.15" customHeight="1" x14ac:dyDescent="0.25">
      <c r="A334" s="1247"/>
      <c r="B334" s="1248"/>
      <c r="C334" s="1270" t="s">
        <v>916</v>
      </c>
      <c r="D334" s="1271"/>
      <c r="E334" s="1271"/>
      <c r="F334" s="1271"/>
      <c r="G334" s="1271"/>
      <c r="H334" s="1271"/>
      <c r="I334" s="1271"/>
      <c r="J334" s="1271"/>
      <c r="K334" s="1271"/>
      <c r="L334" s="1272"/>
      <c r="M334" s="1276"/>
      <c r="N334" s="1277"/>
      <c r="O334" s="1277"/>
      <c r="P334" s="1277"/>
      <c r="Q334" s="1278"/>
      <c r="R334" s="254"/>
      <c r="S334" s="255"/>
      <c r="T334" s="205"/>
    </row>
    <row r="335" spans="1:22" ht="18.75" customHeight="1" x14ac:dyDescent="0.25">
      <c r="A335" s="1247"/>
      <c r="B335" s="1248"/>
      <c r="C335" s="1273"/>
      <c r="D335" s="1274"/>
      <c r="E335" s="1274"/>
      <c r="F335" s="1274"/>
      <c r="G335" s="1274"/>
      <c r="H335" s="1274"/>
      <c r="I335" s="1274"/>
      <c r="J335" s="1274"/>
      <c r="K335" s="1274"/>
      <c r="L335" s="1275"/>
      <c r="M335" s="1279"/>
      <c r="N335" s="1280"/>
      <c r="O335" s="1280"/>
      <c r="P335" s="1280"/>
      <c r="Q335" s="1281"/>
      <c r="R335" s="254"/>
      <c r="S335" s="255"/>
      <c r="T335" s="205"/>
    </row>
    <row r="336" spans="1:22" ht="10.15" customHeight="1" x14ac:dyDescent="0.25">
      <c r="A336" s="1247"/>
      <c r="B336" s="1248"/>
      <c r="C336" s="256"/>
      <c r="D336" s="256"/>
      <c r="E336" s="256"/>
      <c r="F336" s="256"/>
      <c r="G336" s="256"/>
      <c r="H336" s="256"/>
      <c r="I336" s="256"/>
      <c r="J336" s="256"/>
      <c r="K336" s="256"/>
      <c r="L336" s="256"/>
      <c r="M336" s="256"/>
      <c r="N336" s="256"/>
      <c r="O336" s="256"/>
      <c r="P336" s="256"/>
      <c r="Q336" s="256"/>
      <c r="R336" s="254"/>
      <c r="S336" s="255"/>
      <c r="T336" s="205"/>
    </row>
    <row r="337" spans="1:20" ht="18.75" customHeight="1" x14ac:dyDescent="0.25">
      <c r="A337" s="1282"/>
      <c r="B337" s="1283"/>
      <c r="C337" s="1283"/>
      <c r="D337" s="1283"/>
      <c r="E337" s="1283"/>
      <c r="F337" s="1283"/>
      <c r="G337" s="1283"/>
      <c r="H337" s="1283"/>
      <c r="I337" s="1283"/>
      <c r="J337" s="1283"/>
      <c r="K337" s="1283"/>
      <c r="L337" s="1283"/>
      <c r="M337" s="1283"/>
      <c r="N337" s="1283"/>
      <c r="O337" s="1283"/>
      <c r="P337" s="1283"/>
      <c r="Q337" s="1283"/>
      <c r="R337" s="1283"/>
      <c r="S337" s="1284"/>
      <c r="T337" s="205"/>
    </row>
    <row r="340" spans="1:20" hidden="1" x14ac:dyDescent="0.25"/>
    <row r="341" spans="1:20" hidden="1" x14ac:dyDescent="0.25">
      <c r="A341" s="1285" t="s">
        <v>975</v>
      </c>
      <c r="B341" s="1285"/>
      <c r="C341" s="1285"/>
      <c r="D341" s="1285"/>
      <c r="E341" s="1285"/>
      <c r="F341" s="1285"/>
      <c r="G341" s="1285"/>
      <c r="H341" s="1285"/>
      <c r="I341" s="1285"/>
      <c r="J341" s="1285"/>
      <c r="K341" s="1285"/>
    </row>
    <row r="342" spans="1:20" hidden="1" x14ac:dyDescent="0.25">
      <c r="A342" s="1285"/>
      <c r="B342" s="1285"/>
      <c r="C342" s="1285"/>
      <c r="D342" s="1285"/>
      <c r="E342" s="1285"/>
      <c r="F342" s="1285"/>
      <c r="G342" s="1285"/>
      <c r="H342" s="1285"/>
      <c r="I342" s="1285"/>
      <c r="J342" s="1285"/>
      <c r="K342" s="1285"/>
    </row>
    <row r="343" spans="1:20" hidden="1" x14ac:dyDescent="0.25">
      <c r="A343" s="252"/>
      <c r="B343" s="252"/>
      <c r="C343" s="252"/>
      <c r="D343" s="252"/>
      <c r="E343" s="252"/>
      <c r="F343" s="252"/>
      <c r="G343" s="252"/>
      <c r="H343" s="252"/>
      <c r="I343" s="252"/>
      <c r="J343" s="252"/>
      <c r="K343" s="252"/>
    </row>
    <row r="344" spans="1:20" hidden="1" x14ac:dyDescent="0.25">
      <c r="A344" s="252" t="s">
        <v>785</v>
      </c>
      <c r="B344" s="252"/>
      <c r="C344" s="252"/>
      <c r="D344" s="252"/>
      <c r="E344" s="252"/>
      <c r="F344" s="252"/>
      <c r="G344" s="252"/>
      <c r="H344" s="252"/>
      <c r="I344" s="252"/>
      <c r="J344" s="1286">
        <f>HERSIndex</f>
        <v>0</v>
      </c>
      <c r="K344" s="1287"/>
    </row>
    <row r="345" spans="1:20" hidden="1" x14ac:dyDescent="0.25">
      <c r="A345" s="252"/>
      <c r="B345" s="252"/>
      <c r="C345" s="252"/>
      <c r="D345" s="252"/>
      <c r="E345" s="252"/>
      <c r="F345" s="252"/>
      <c r="G345" s="252"/>
      <c r="H345" s="252"/>
      <c r="I345" s="252"/>
      <c r="J345" s="252"/>
      <c r="K345" s="252"/>
    </row>
    <row r="346" spans="1:20" hidden="1" x14ac:dyDescent="0.25">
      <c r="A346" s="252"/>
      <c r="B346" s="252"/>
      <c r="C346" s="252"/>
      <c r="D346" s="252"/>
      <c r="E346" s="252"/>
      <c r="F346" s="252"/>
      <c r="G346" s="252"/>
      <c r="H346" s="252"/>
      <c r="I346" s="252"/>
      <c r="J346" s="252"/>
      <c r="K346" s="252"/>
    </row>
    <row r="347" spans="1:20" hidden="1" x14ac:dyDescent="0.25">
      <c r="A347" s="1240" t="s">
        <v>966</v>
      </c>
      <c r="B347" s="1241"/>
      <c r="C347" s="1241"/>
      <c r="D347" s="1241"/>
      <c r="E347" s="1241"/>
      <c r="F347" s="1241"/>
      <c r="G347" s="1241"/>
      <c r="H347" s="1241"/>
      <c r="I347" s="1242"/>
      <c r="J347" s="252"/>
      <c r="K347" s="252"/>
    </row>
    <row r="348" spans="1:20" ht="27.75" hidden="1" customHeight="1" x14ac:dyDescent="0.25">
      <c r="A348" s="228"/>
      <c r="B348" s="228"/>
      <c r="C348" s="229" t="s">
        <v>793</v>
      </c>
      <c r="D348" s="230">
        <f>MAX(E350:I368)</f>
        <v>0</v>
      </c>
      <c r="E348" s="1268" t="s">
        <v>931</v>
      </c>
      <c r="F348" s="1268"/>
      <c r="G348" s="1268"/>
      <c r="H348" s="1269" t="str">
        <f>IF(D348=3,"Gold",IF(D348=4,"Emerald","HERS Index Issue?"))</f>
        <v>HERS Index Issue?</v>
      </c>
      <c r="I348" s="1269"/>
      <c r="J348" s="231"/>
      <c r="K348" s="231"/>
      <c r="L348" s="207"/>
      <c r="M348" s="207"/>
      <c r="N348" s="207"/>
      <c r="O348" s="207"/>
      <c r="P348" s="207"/>
      <c r="Q348" s="207"/>
      <c r="R348" s="207"/>
      <c r="S348" s="207"/>
    </row>
    <row r="349" spans="1:20" hidden="1" x14ac:dyDescent="0.25">
      <c r="A349" s="1244" t="s">
        <v>788</v>
      </c>
      <c r="B349" s="1244"/>
      <c r="C349" s="232"/>
      <c r="D349" s="252"/>
      <c r="E349" s="233" t="s">
        <v>788</v>
      </c>
      <c r="F349" s="233" t="s">
        <v>789</v>
      </c>
      <c r="G349" s="233" t="s">
        <v>790</v>
      </c>
      <c r="H349" s="233" t="s">
        <v>791</v>
      </c>
      <c r="I349" s="233" t="s">
        <v>792</v>
      </c>
      <c r="J349" s="252"/>
      <c r="K349" s="252"/>
    </row>
    <row r="350" spans="1:20" hidden="1" x14ac:dyDescent="0.25">
      <c r="A350" s="1243" t="s">
        <v>1111</v>
      </c>
      <c r="B350" s="1243"/>
      <c r="C350" s="1243"/>
      <c r="D350" s="252"/>
      <c r="E350" s="234" t="str">
        <f>IF(AND(CZ=3,HERSIndex&gt;47),0,"")</f>
        <v/>
      </c>
      <c r="F350" s="234"/>
      <c r="G350" s="234"/>
      <c r="H350" s="234"/>
      <c r="I350" s="234"/>
      <c r="J350" s="252"/>
      <c r="K350" s="252"/>
    </row>
    <row r="351" spans="1:20" hidden="1" x14ac:dyDescent="0.25">
      <c r="A351" s="1243" t="s">
        <v>1113</v>
      </c>
      <c r="B351" s="1243"/>
      <c r="C351" s="1243"/>
      <c r="D351" s="252"/>
      <c r="E351" s="234" t="str">
        <f>IF(AND(CZ=3,AND(HERSIndex&gt;=41,HERSIndex&lt;=47)),3,"")</f>
        <v/>
      </c>
      <c r="F351" s="234"/>
      <c r="G351" s="234"/>
      <c r="H351" s="234"/>
      <c r="I351" s="234"/>
      <c r="J351" s="252"/>
      <c r="K351" s="252"/>
    </row>
    <row r="352" spans="1:20" hidden="1" x14ac:dyDescent="0.25">
      <c r="A352" s="1243" t="s">
        <v>1112</v>
      </c>
      <c r="B352" s="1243"/>
      <c r="C352" s="1243"/>
      <c r="D352" s="252"/>
      <c r="E352" s="234" t="str">
        <f>IF(AND(CZ=3,HERSIndex&lt;41),4,"")</f>
        <v/>
      </c>
      <c r="F352" s="234"/>
      <c r="G352" s="234"/>
      <c r="H352" s="234"/>
      <c r="I352" s="234"/>
      <c r="J352" s="252"/>
      <c r="K352" s="252"/>
    </row>
    <row r="353" spans="1:11" hidden="1" x14ac:dyDescent="0.25">
      <c r="A353" s="1244" t="s">
        <v>789</v>
      </c>
      <c r="B353" s="1244"/>
      <c r="C353" s="252"/>
      <c r="D353" s="252"/>
      <c r="E353" s="234"/>
      <c r="F353" s="234"/>
      <c r="G353" s="234"/>
      <c r="H353" s="234"/>
      <c r="I353" s="234"/>
      <c r="J353" s="252"/>
      <c r="K353" s="252"/>
    </row>
    <row r="354" spans="1:11" hidden="1" x14ac:dyDescent="0.25">
      <c r="A354" s="1243" t="s">
        <v>1114</v>
      </c>
      <c r="B354" s="1243"/>
      <c r="C354" s="1243"/>
      <c r="D354" s="252"/>
      <c r="E354" s="234"/>
      <c r="F354" s="234" t="str">
        <f>IF(AND(CZ=4,HERSIndex&gt;51),0,"")</f>
        <v/>
      </c>
      <c r="G354" s="234"/>
      <c r="H354" s="234"/>
      <c r="I354" s="234"/>
      <c r="J354" s="252"/>
      <c r="K354" s="252"/>
    </row>
    <row r="355" spans="1:11" hidden="1" x14ac:dyDescent="0.25">
      <c r="A355" s="1243" t="s">
        <v>1115</v>
      </c>
      <c r="B355" s="1243"/>
      <c r="C355" s="1243"/>
      <c r="D355" s="252"/>
      <c r="E355" s="234"/>
      <c r="F355" s="234" t="str">
        <f>IF(AND(CZ=4,AND(HERSIndex&gt;=44,HERSIndex&lt;=51)),3,"")</f>
        <v/>
      </c>
      <c r="G355" s="234"/>
      <c r="H355" s="234"/>
      <c r="I355" s="234"/>
      <c r="J355" s="252"/>
      <c r="K355" s="252"/>
    </row>
    <row r="356" spans="1:11" hidden="1" x14ac:dyDescent="0.25">
      <c r="A356" s="1243" t="s">
        <v>967</v>
      </c>
      <c r="B356" s="1243"/>
      <c r="C356" s="1243"/>
      <c r="D356" s="252"/>
      <c r="E356" s="234"/>
      <c r="F356" s="234" t="str">
        <f>IF(AND(CZ=4,HERSIndex&lt;44),4,"")</f>
        <v/>
      </c>
      <c r="G356" s="234"/>
      <c r="H356" s="234"/>
      <c r="I356" s="234"/>
      <c r="J356" s="252"/>
      <c r="K356" s="252"/>
    </row>
    <row r="357" spans="1:11" hidden="1" x14ac:dyDescent="0.25">
      <c r="A357" s="1244" t="s">
        <v>790</v>
      </c>
      <c r="B357" s="1244"/>
      <c r="C357" s="252"/>
      <c r="D357" s="252"/>
      <c r="E357" s="234"/>
      <c r="F357" s="234"/>
      <c r="G357" s="234"/>
      <c r="H357" s="234"/>
      <c r="I357" s="234"/>
      <c r="J357" s="252"/>
      <c r="K357" s="252"/>
    </row>
    <row r="358" spans="1:11" hidden="1" x14ac:dyDescent="0.25">
      <c r="A358" s="1243" t="s">
        <v>1116</v>
      </c>
      <c r="B358" s="1243"/>
      <c r="C358" s="1243"/>
      <c r="D358" s="252"/>
      <c r="E358" s="234"/>
      <c r="F358" s="234"/>
      <c r="G358" s="234" t="str">
        <f>IF(AND(CZ=5,HERSIndex&gt;52),0,"")</f>
        <v/>
      </c>
      <c r="H358" s="234"/>
      <c r="I358" s="234"/>
      <c r="J358" s="252"/>
      <c r="K358" s="252"/>
    </row>
    <row r="359" spans="1:11" hidden="1" x14ac:dyDescent="0.25">
      <c r="A359" s="1243" t="s">
        <v>1117</v>
      </c>
      <c r="B359" s="1243"/>
      <c r="C359" s="1243"/>
      <c r="D359" s="252"/>
      <c r="E359" s="234"/>
      <c r="F359" s="234"/>
      <c r="G359" s="234" t="str">
        <f>IF(AND(CZ=5,AND(HERSIndex&gt;=45,HERSIndex&lt;=52)),3,"")</f>
        <v/>
      </c>
      <c r="H359" s="234"/>
      <c r="I359" s="234"/>
      <c r="J359" s="252"/>
      <c r="K359" s="252"/>
    </row>
    <row r="360" spans="1:11" hidden="1" x14ac:dyDescent="0.25">
      <c r="A360" s="1243" t="s">
        <v>968</v>
      </c>
      <c r="B360" s="1243"/>
      <c r="C360" s="1243"/>
      <c r="D360" s="252"/>
      <c r="E360" s="234"/>
      <c r="F360" s="234"/>
      <c r="G360" s="234" t="str">
        <f>IF(AND(CZ=5,HERSIndex&lt;45),4,"")</f>
        <v/>
      </c>
      <c r="H360" s="234"/>
      <c r="I360" s="234"/>
      <c r="J360" s="252"/>
      <c r="K360" s="252"/>
    </row>
    <row r="361" spans="1:11" hidden="1" x14ac:dyDescent="0.25">
      <c r="A361" s="1244" t="s">
        <v>791</v>
      </c>
      <c r="B361" s="1244"/>
      <c r="C361" s="252"/>
      <c r="D361" s="252"/>
      <c r="E361" s="234"/>
      <c r="F361" s="234"/>
      <c r="G361" s="234"/>
      <c r="H361" s="234"/>
      <c r="I361" s="234"/>
      <c r="J361" s="252"/>
      <c r="K361" s="252"/>
    </row>
    <row r="362" spans="1:11" hidden="1" x14ac:dyDescent="0.25">
      <c r="A362" s="1243" t="s">
        <v>1116</v>
      </c>
      <c r="B362" s="1243"/>
      <c r="C362" s="1243"/>
      <c r="D362" s="252"/>
      <c r="E362" s="234"/>
      <c r="F362" s="234"/>
      <c r="G362" s="234"/>
      <c r="H362" s="234" t="str">
        <f>IF(AND(CZ=6,HERSIndex&gt;52),0,"")</f>
        <v/>
      </c>
      <c r="I362" s="234"/>
      <c r="J362" s="252"/>
      <c r="K362" s="252"/>
    </row>
    <row r="363" spans="1:11" hidden="1" x14ac:dyDescent="0.25">
      <c r="A363" s="1243" t="s">
        <v>1117</v>
      </c>
      <c r="B363" s="1243"/>
      <c r="C363" s="1243"/>
      <c r="D363" s="252"/>
      <c r="E363" s="234"/>
      <c r="F363" s="234"/>
      <c r="G363" s="234"/>
      <c r="H363" s="234" t="str">
        <f>IF(AND(CZ=6,AND(HERSIndex&gt;=45,HERSIndex&lt;=52)),3,"")</f>
        <v/>
      </c>
      <c r="I363" s="234"/>
      <c r="J363" s="252"/>
      <c r="K363" s="252"/>
    </row>
    <row r="364" spans="1:11" hidden="1" x14ac:dyDescent="0.25">
      <c r="A364" s="1243" t="s">
        <v>968</v>
      </c>
      <c r="B364" s="1243"/>
      <c r="C364" s="1243"/>
      <c r="D364" s="252"/>
      <c r="E364" s="234"/>
      <c r="F364" s="234"/>
      <c r="G364" s="234"/>
      <c r="H364" s="234" t="str">
        <f>IF(AND(CZ=6,HERSIndex&lt;45),4,"")</f>
        <v/>
      </c>
      <c r="I364" s="234"/>
      <c r="J364" s="252"/>
      <c r="K364" s="252"/>
    </row>
    <row r="365" spans="1:11" hidden="1" x14ac:dyDescent="0.25">
      <c r="A365" s="1244" t="s">
        <v>792</v>
      </c>
      <c r="B365" s="1244"/>
      <c r="C365" s="252"/>
      <c r="D365" s="252"/>
      <c r="E365" s="234"/>
      <c r="F365" s="234"/>
      <c r="G365" s="234"/>
      <c r="H365" s="234"/>
      <c r="I365" s="234"/>
      <c r="J365" s="252"/>
      <c r="K365" s="252"/>
    </row>
    <row r="366" spans="1:11" hidden="1" x14ac:dyDescent="0.25">
      <c r="A366" s="1243" t="s">
        <v>1116</v>
      </c>
      <c r="B366" s="1243"/>
      <c r="C366" s="1243"/>
      <c r="D366" s="252"/>
      <c r="E366" s="234"/>
      <c r="F366" s="234"/>
      <c r="G366" s="234"/>
      <c r="H366" s="234"/>
      <c r="I366" s="234" t="str">
        <f>IF(AND(CZ=7,HERSIndex&gt;52),0,"")</f>
        <v/>
      </c>
      <c r="J366" s="252"/>
      <c r="K366" s="252"/>
    </row>
    <row r="367" spans="1:11" hidden="1" x14ac:dyDescent="0.25">
      <c r="A367" s="1243" t="s">
        <v>1117</v>
      </c>
      <c r="B367" s="1243"/>
      <c r="C367" s="1243"/>
      <c r="D367" s="252"/>
      <c r="E367" s="234"/>
      <c r="F367" s="234"/>
      <c r="G367" s="234"/>
      <c r="H367" s="234"/>
      <c r="I367" s="234" t="str">
        <f>IF(AND(CZ=7,AND(HERSIndex&gt;=45,HERSIndex&lt;=52)),3,"")</f>
        <v/>
      </c>
      <c r="J367" s="252"/>
      <c r="K367" s="252"/>
    </row>
    <row r="368" spans="1:11" hidden="1" x14ac:dyDescent="0.25">
      <c r="A368" s="1243" t="s">
        <v>968</v>
      </c>
      <c r="B368" s="1243"/>
      <c r="C368" s="1243"/>
      <c r="D368" s="252"/>
      <c r="E368" s="234"/>
      <c r="F368" s="234"/>
      <c r="G368" s="234"/>
      <c r="H368" s="234"/>
      <c r="I368" s="234" t="str">
        <f>IF(AND(CZ=7,HERSIndex&lt;45),4,"")</f>
        <v/>
      </c>
      <c r="J368" s="252"/>
      <c r="K368" s="252"/>
    </row>
    <row r="369" spans="1:11" hidden="1" x14ac:dyDescent="0.25">
      <c r="A369" s="252"/>
      <c r="B369" s="252"/>
      <c r="C369" s="252"/>
      <c r="D369" s="252"/>
      <c r="E369" s="252"/>
      <c r="F369" s="252"/>
      <c r="G369" s="252"/>
      <c r="H369" s="252"/>
      <c r="I369" s="252"/>
      <c r="J369" s="252"/>
      <c r="K369" s="252"/>
    </row>
    <row r="370" spans="1:11" hidden="1" x14ac:dyDescent="0.25">
      <c r="A370" s="252"/>
      <c r="B370" s="252"/>
      <c r="C370" s="252"/>
      <c r="D370" s="252"/>
      <c r="E370" s="252"/>
      <c r="F370" s="252"/>
      <c r="G370" s="252"/>
      <c r="H370" s="252"/>
      <c r="I370" s="252"/>
      <c r="J370" s="252"/>
      <c r="K370" s="252"/>
    </row>
    <row r="371" spans="1:11" hidden="1" x14ac:dyDescent="0.25">
      <c r="A371" s="1240" t="s">
        <v>794</v>
      </c>
      <c r="B371" s="1241"/>
      <c r="C371" s="1241"/>
      <c r="D371" s="1241"/>
      <c r="E371" s="1241"/>
      <c r="F371" s="1241"/>
      <c r="G371" s="1241"/>
      <c r="H371" s="1241"/>
      <c r="I371" s="1242"/>
      <c r="J371" s="252"/>
      <c r="K371" s="252"/>
    </row>
    <row r="372" spans="1:11" hidden="1" x14ac:dyDescent="0.25">
      <c r="A372" s="1290" t="s">
        <v>4</v>
      </c>
      <c r="B372" s="1291"/>
      <c r="C372" s="1291"/>
      <c r="D372" s="1291"/>
      <c r="E372" s="1291"/>
      <c r="F372" s="1291"/>
      <c r="G372" s="1291"/>
      <c r="H372" s="1291"/>
      <c r="I372" s="1291"/>
      <c r="J372" s="252"/>
      <c r="K372" s="252"/>
    </row>
    <row r="373" spans="1:11" hidden="1" x14ac:dyDescent="0.25">
      <c r="A373" s="1236" t="s">
        <v>795</v>
      </c>
      <c r="B373" s="1236"/>
      <c r="C373" s="1236"/>
      <c r="D373" s="1237"/>
      <c r="E373" s="252">
        <f>HERSIndex</f>
        <v>0</v>
      </c>
      <c r="F373" s="252"/>
      <c r="G373" s="252"/>
      <c r="H373" s="252"/>
      <c r="I373" s="252"/>
      <c r="J373" s="252"/>
      <c r="K373" s="252"/>
    </row>
    <row r="374" spans="1:11" hidden="1" x14ac:dyDescent="0.25">
      <c r="A374" s="1236" t="s">
        <v>1118</v>
      </c>
      <c r="B374" s="1236"/>
      <c r="C374" s="1236"/>
      <c r="D374" s="1237"/>
      <c r="E374" s="252">
        <f>CZ3_Gold</f>
        <v>47</v>
      </c>
      <c r="F374" s="252"/>
      <c r="G374" s="252"/>
      <c r="H374" s="252"/>
      <c r="I374" s="252"/>
      <c r="J374" s="252"/>
      <c r="K374" s="252"/>
    </row>
    <row r="375" spans="1:11" hidden="1" x14ac:dyDescent="0.25">
      <c r="A375" s="1236" t="s">
        <v>1119</v>
      </c>
      <c r="B375" s="1236"/>
      <c r="C375" s="1236"/>
      <c r="D375" s="1237"/>
      <c r="E375" s="252">
        <f>IF(E373&lt;E374,E374-E373,0)</f>
        <v>47</v>
      </c>
      <c r="F375" s="252"/>
      <c r="G375" s="252"/>
      <c r="H375" s="252"/>
      <c r="I375" s="252"/>
      <c r="J375" s="252"/>
      <c r="K375" s="252"/>
    </row>
    <row r="376" spans="1:11" hidden="1" x14ac:dyDescent="0.25">
      <c r="A376" s="1236" t="s">
        <v>796</v>
      </c>
      <c r="B376" s="1236"/>
      <c r="C376" s="1236"/>
      <c r="D376" s="1237"/>
      <c r="E376" s="252">
        <f>MIN(0.5*E375,25)</f>
        <v>23.5</v>
      </c>
      <c r="F376" s="252"/>
      <c r="G376" s="252"/>
      <c r="H376" s="252"/>
      <c r="I376" s="252"/>
      <c r="J376" s="252"/>
      <c r="K376" s="252"/>
    </row>
    <row r="377" spans="1:11" hidden="1" x14ac:dyDescent="0.25">
      <c r="A377" s="1238" t="s">
        <v>5</v>
      </c>
      <c r="B377" s="1239"/>
      <c r="C377" s="1239"/>
      <c r="D377" s="1239"/>
      <c r="E377" s="1239"/>
      <c r="F377" s="1239"/>
      <c r="G377" s="1239"/>
      <c r="H377" s="1239"/>
      <c r="I377" s="1239"/>
      <c r="J377" s="252"/>
      <c r="K377" s="252"/>
    </row>
    <row r="378" spans="1:11" hidden="1" x14ac:dyDescent="0.25">
      <c r="A378" s="1236" t="s">
        <v>795</v>
      </c>
      <c r="B378" s="1236"/>
      <c r="C378" s="1236"/>
      <c r="D378" s="1237"/>
      <c r="E378" s="252">
        <f>HERSIndex</f>
        <v>0</v>
      </c>
      <c r="F378" s="252"/>
      <c r="G378" s="252"/>
      <c r="H378" s="252"/>
      <c r="I378" s="252"/>
      <c r="J378" s="252"/>
      <c r="K378" s="252"/>
    </row>
    <row r="379" spans="1:11" hidden="1" x14ac:dyDescent="0.25">
      <c r="A379" s="1236" t="s">
        <v>1118</v>
      </c>
      <c r="B379" s="1236"/>
      <c r="C379" s="1236"/>
      <c r="D379" s="1237"/>
      <c r="E379" s="252">
        <f>CZ4_Gold</f>
        <v>51</v>
      </c>
      <c r="F379" s="252"/>
      <c r="G379" s="252"/>
      <c r="H379" s="252"/>
      <c r="I379" s="252"/>
      <c r="J379" s="252"/>
      <c r="K379" s="252"/>
    </row>
    <row r="380" spans="1:11" hidden="1" x14ac:dyDescent="0.25">
      <c r="A380" s="1236" t="s">
        <v>1119</v>
      </c>
      <c r="B380" s="1236"/>
      <c r="C380" s="1236"/>
      <c r="D380" s="1237"/>
      <c r="E380" s="252">
        <f>IF(E378&lt;E379,E379-E378,0)</f>
        <v>51</v>
      </c>
      <c r="F380" s="252"/>
      <c r="G380" s="252"/>
      <c r="H380" s="252"/>
      <c r="I380" s="252"/>
      <c r="J380" s="252"/>
      <c r="K380" s="252"/>
    </row>
    <row r="381" spans="1:11" hidden="1" x14ac:dyDescent="0.25">
      <c r="A381" s="1236" t="s">
        <v>796</v>
      </c>
      <c r="B381" s="1236"/>
      <c r="C381" s="1236"/>
      <c r="D381" s="1237"/>
      <c r="E381" s="252">
        <f>MIN(0.5*E380,25)</f>
        <v>25</v>
      </c>
      <c r="F381" s="252"/>
      <c r="G381" s="252"/>
      <c r="H381" s="252"/>
      <c r="I381" s="252"/>
      <c r="J381" s="252"/>
      <c r="K381" s="252"/>
    </row>
    <row r="382" spans="1:11" hidden="1" x14ac:dyDescent="0.25">
      <c r="A382" s="1238" t="s">
        <v>6</v>
      </c>
      <c r="B382" s="1239"/>
      <c r="C382" s="1239"/>
      <c r="D382" s="1239"/>
      <c r="E382" s="1239"/>
      <c r="F382" s="1239"/>
      <c r="G382" s="1239"/>
      <c r="H382" s="1239"/>
      <c r="I382" s="1239"/>
      <c r="J382" s="252"/>
      <c r="K382" s="252"/>
    </row>
    <row r="383" spans="1:11" hidden="1" x14ac:dyDescent="0.25">
      <c r="A383" s="1236" t="s">
        <v>795</v>
      </c>
      <c r="B383" s="1236"/>
      <c r="C383" s="1236"/>
      <c r="D383" s="1237"/>
      <c r="E383" s="252">
        <f>HERSIndex</f>
        <v>0</v>
      </c>
      <c r="F383" s="252"/>
      <c r="G383" s="252"/>
      <c r="H383" s="252"/>
      <c r="I383" s="252"/>
      <c r="J383" s="252"/>
      <c r="K383" s="252"/>
    </row>
    <row r="384" spans="1:11" hidden="1" x14ac:dyDescent="0.25">
      <c r="A384" s="1236" t="s">
        <v>1118</v>
      </c>
      <c r="B384" s="1236"/>
      <c r="C384" s="1236"/>
      <c r="D384" s="1237"/>
      <c r="E384" s="252">
        <f>CZ5_Gold</f>
        <v>52</v>
      </c>
      <c r="F384" s="252"/>
      <c r="G384" s="252"/>
      <c r="H384" s="252"/>
      <c r="I384" s="252"/>
      <c r="J384" s="252"/>
      <c r="K384" s="252"/>
    </row>
    <row r="385" spans="1:11" hidden="1" x14ac:dyDescent="0.25">
      <c r="A385" s="1236" t="s">
        <v>1119</v>
      </c>
      <c r="B385" s="1236"/>
      <c r="C385" s="1236"/>
      <c r="D385" s="1237"/>
      <c r="E385" s="252">
        <f>IF(E383&lt;E384,E384-E383,0)</f>
        <v>52</v>
      </c>
      <c r="F385" s="252"/>
      <c r="G385" s="252"/>
      <c r="H385" s="252"/>
      <c r="I385" s="252"/>
      <c r="J385" s="252"/>
      <c r="K385" s="252"/>
    </row>
    <row r="386" spans="1:11" hidden="1" x14ac:dyDescent="0.25">
      <c r="A386" s="1236" t="s">
        <v>796</v>
      </c>
      <c r="B386" s="1236"/>
      <c r="C386" s="1236"/>
      <c r="D386" s="1237"/>
      <c r="E386" s="252">
        <f>MIN(0.5*E385,25)</f>
        <v>25</v>
      </c>
      <c r="F386" s="252"/>
      <c r="G386" s="252"/>
      <c r="H386" s="252"/>
      <c r="I386" s="252"/>
      <c r="J386" s="252"/>
      <c r="K386" s="252"/>
    </row>
    <row r="387" spans="1:11" hidden="1" x14ac:dyDescent="0.25">
      <c r="A387" s="1238" t="s">
        <v>7</v>
      </c>
      <c r="B387" s="1239"/>
      <c r="C387" s="1239"/>
      <c r="D387" s="1239"/>
      <c r="E387" s="1239"/>
      <c r="F387" s="1239"/>
      <c r="G387" s="1239"/>
      <c r="H387" s="1239"/>
      <c r="I387" s="1239"/>
      <c r="J387" s="252"/>
      <c r="K387" s="252"/>
    </row>
    <row r="388" spans="1:11" hidden="1" x14ac:dyDescent="0.25">
      <c r="A388" s="1236" t="s">
        <v>795</v>
      </c>
      <c r="B388" s="1236"/>
      <c r="C388" s="1236"/>
      <c r="D388" s="1237"/>
      <c r="E388" s="252">
        <f>HERSIndex</f>
        <v>0</v>
      </c>
      <c r="F388" s="252"/>
      <c r="G388" s="252"/>
      <c r="H388" s="252"/>
      <c r="I388" s="252"/>
      <c r="J388" s="252"/>
      <c r="K388" s="252"/>
    </row>
    <row r="389" spans="1:11" hidden="1" x14ac:dyDescent="0.25">
      <c r="A389" s="1236" t="s">
        <v>1118</v>
      </c>
      <c r="B389" s="1236"/>
      <c r="C389" s="1236"/>
      <c r="D389" s="1237"/>
      <c r="E389" s="252">
        <f>CZ6_Gold</f>
        <v>52</v>
      </c>
      <c r="F389" s="252"/>
      <c r="G389" s="252"/>
      <c r="H389" s="252"/>
      <c r="I389" s="252"/>
      <c r="J389" s="252"/>
      <c r="K389" s="252"/>
    </row>
    <row r="390" spans="1:11" hidden="1" x14ac:dyDescent="0.25">
      <c r="A390" s="1236" t="s">
        <v>1119</v>
      </c>
      <c r="B390" s="1236"/>
      <c r="C390" s="1236"/>
      <c r="D390" s="1237"/>
      <c r="E390" s="252">
        <f>IF(E388&lt;E389,E389-E388,0)</f>
        <v>52</v>
      </c>
      <c r="F390" s="252"/>
      <c r="G390" s="252"/>
      <c r="H390" s="252"/>
      <c r="I390" s="252"/>
      <c r="J390" s="252"/>
      <c r="K390" s="252"/>
    </row>
    <row r="391" spans="1:11" hidden="1" x14ac:dyDescent="0.25">
      <c r="A391" s="1236" t="s">
        <v>796</v>
      </c>
      <c r="B391" s="1236"/>
      <c r="C391" s="1236"/>
      <c r="D391" s="1237"/>
      <c r="E391" s="252">
        <f>MIN(0.5*E390,25)</f>
        <v>25</v>
      </c>
      <c r="F391" s="252"/>
      <c r="G391" s="252"/>
      <c r="H391" s="252"/>
      <c r="I391" s="252"/>
      <c r="J391" s="252"/>
      <c r="K391" s="252"/>
    </row>
    <row r="392" spans="1:11" hidden="1" x14ac:dyDescent="0.25">
      <c r="A392" s="1238" t="s">
        <v>8</v>
      </c>
      <c r="B392" s="1239"/>
      <c r="C392" s="1239"/>
      <c r="D392" s="1239"/>
      <c r="E392" s="1239"/>
      <c r="F392" s="1239"/>
      <c r="G392" s="1239"/>
      <c r="H392" s="1239"/>
      <c r="I392" s="1239"/>
      <c r="J392" s="252"/>
      <c r="K392" s="252"/>
    </row>
    <row r="393" spans="1:11" hidden="1" x14ac:dyDescent="0.25">
      <c r="A393" s="1236" t="s">
        <v>795</v>
      </c>
      <c r="B393" s="1236"/>
      <c r="C393" s="1236"/>
      <c r="D393" s="1237"/>
      <c r="E393" s="252">
        <f>HERSIndex</f>
        <v>0</v>
      </c>
      <c r="F393" s="252"/>
      <c r="G393" s="252"/>
      <c r="H393" s="252"/>
      <c r="I393" s="252"/>
      <c r="J393" s="252"/>
      <c r="K393" s="252"/>
    </row>
    <row r="394" spans="1:11" hidden="1" x14ac:dyDescent="0.25">
      <c r="A394" s="1236" t="s">
        <v>1118</v>
      </c>
      <c r="B394" s="1236"/>
      <c r="C394" s="1236"/>
      <c r="D394" s="1237"/>
      <c r="E394" s="252">
        <f>CZ7_Gold</f>
        <v>52</v>
      </c>
      <c r="F394" s="252"/>
      <c r="G394" s="252"/>
      <c r="H394" s="252"/>
      <c r="I394" s="252"/>
      <c r="J394" s="252"/>
      <c r="K394" s="252"/>
    </row>
    <row r="395" spans="1:11" hidden="1" x14ac:dyDescent="0.25">
      <c r="A395" s="1236" t="s">
        <v>1119</v>
      </c>
      <c r="B395" s="1236"/>
      <c r="C395" s="1236"/>
      <c r="D395" s="1237"/>
      <c r="E395" s="252">
        <f>IF(E393&lt;E394,E394-E393,0)</f>
        <v>52</v>
      </c>
      <c r="F395" s="252"/>
      <c r="G395" s="252"/>
      <c r="H395" s="252"/>
      <c r="I395" s="252"/>
      <c r="J395" s="252"/>
      <c r="K395" s="252"/>
    </row>
    <row r="396" spans="1:11" hidden="1" x14ac:dyDescent="0.25">
      <c r="A396" s="1236" t="s">
        <v>796</v>
      </c>
      <c r="B396" s="1236"/>
      <c r="C396" s="1236"/>
      <c r="D396" s="1237"/>
      <c r="E396" s="252">
        <f>MIN(0.5*E395,25)</f>
        <v>25</v>
      </c>
      <c r="F396" s="252"/>
      <c r="G396" s="252"/>
      <c r="H396" s="252"/>
      <c r="I396" s="252"/>
      <c r="J396" s="252"/>
      <c r="K396" s="252"/>
    </row>
    <row r="397" spans="1:11" hidden="1" x14ac:dyDescent="0.25">
      <c r="A397" s="252"/>
      <c r="B397" s="252"/>
      <c r="C397" s="252"/>
      <c r="D397" s="252"/>
      <c r="E397" s="252"/>
      <c r="F397" s="252"/>
      <c r="G397" s="252"/>
      <c r="H397" s="252"/>
      <c r="I397" s="252"/>
      <c r="J397" s="252"/>
      <c r="K397" s="252"/>
    </row>
    <row r="398" spans="1:11" hidden="1" x14ac:dyDescent="0.25">
      <c r="A398" s="252"/>
      <c r="B398" s="252"/>
      <c r="C398" s="252"/>
      <c r="D398" s="252"/>
      <c r="E398" s="252"/>
      <c r="F398" s="252"/>
      <c r="G398" s="252"/>
      <c r="H398" s="252"/>
      <c r="I398" s="252"/>
      <c r="J398" s="252"/>
      <c r="K398" s="252"/>
    </row>
    <row r="399" spans="1:11" hidden="1" x14ac:dyDescent="0.25">
      <c r="A399" s="1240" t="s">
        <v>808</v>
      </c>
      <c r="B399" s="1241"/>
      <c r="C399" s="1241"/>
      <c r="D399" s="1241"/>
      <c r="E399" s="1241"/>
      <c r="F399" s="1241"/>
      <c r="G399" s="1241"/>
      <c r="H399" s="1241"/>
      <c r="I399" s="1242"/>
      <c r="J399" s="252"/>
      <c r="K399" s="252"/>
    </row>
    <row r="400" spans="1:11" hidden="1" x14ac:dyDescent="0.25">
      <c r="A400" s="1238" t="s">
        <v>1205</v>
      </c>
      <c r="B400" s="1239"/>
      <c r="C400" s="1239"/>
      <c r="D400" s="1239"/>
      <c r="E400" s="1239"/>
      <c r="F400" s="1239"/>
      <c r="G400" s="1239"/>
      <c r="H400" s="1239"/>
      <c r="I400" s="1239"/>
      <c r="J400" s="252"/>
      <c r="K400" s="252"/>
    </row>
    <row r="401" spans="1:11" hidden="1" x14ac:dyDescent="0.25">
      <c r="A401" s="1236" t="s">
        <v>809</v>
      </c>
      <c r="B401" s="1236"/>
      <c r="C401" s="1236"/>
      <c r="D401" s="1237"/>
      <c r="E401" s="252">
        <f>I41</f>
        <v>0</v>
      </c>
      <c r="F401" s="252"/>
      <c r="G401" s="252"/>
      <c r="H401" s="252"/>
      <c r="I401" s="252"/>
      <c r="J401" s="252"/>
      <c r="K401" s="252"/>
    </row>
    <row r="402" spans="1:11" hidden="1" x14ac:dyDescent="0.25">
      <c r="A402" s="1236" t="s">
        <v>810</v>
      </c>
      <c r="B402" s="1236"/>
      <c r="C402" s="1236"/>
      <c r="D402" s="1237"/>
      <c r="E402" s="252" t="str">
        <f>IF(I41="","ACH50 ?",IF(E401&lt;=3,2,(IF(AND(E401&gt;3,E401&lt;=4),0,"CANNOT CERTIFY, HOME IS TOO LEAKY"))))</f>
        <v>ACH50 ?</v>
      </c>
      <c r="F402" s="252"/>
      <c r="G402" s="252"/>
      <c r="H402" s="252"/>
      <c r="I402" s="252"/>
      <c r="J402" s="252"/>
      <c r="K402" s="252"/>
    </row>
    <row r="403" spans="1:11" hidden="1" x14ac:dyDescent="0.25">
      <c r="A403" s="252"/>
      <c r="B403" s="252"/>
      <c r="C403" s="252"/>
      <c r="D403" s="252"/>
      <c r="E403" s="252"/>
      <c r="F403" s="252"/>
      <c r="G403" s="252"/>
      <c r="H403" s="252"/>
      <c r="I403" s="252"/>
      <c r="J403" s="252"/>
      <c r="K403" s="252"/>
    </row>
    <row r="404" spans="1:11" hidden="1" x14ac:dyDescent="0.25"/>
  </sheetData>
  <sheetProtection algorithmName="SHA-512" hashValue="WMax1qi29MEoLG0jpA8Bf0Hyst4lhQUwKg6UhxCEZuClNxi9ZqG8DU/5sgY7BjZKW1LoyTxowEZQ6k1pqCoXLA==" saltValue="/1Z6geODLnGPg0Sqcc9A7Q==" spinCount="100000" sheet="1" objects="1" scenarios="1" formatRows="0" selectLockedCells="1"/>
  <mergeCells count="743">
    <mergeCell ref="C165:I165"/>
    <mergeCell ref="J165:K165"/>
    <mergeCell ref="C166:J166"/>
    <mergeCell ref="M42:M43"/>
    <mergeCell ref="N42:S43"/>
    <mergeCell ref="C43:K43"/>
    <mergeCell ref="A47:B49"/>
    <mergeCell ref="C47:K47"/>
    <mergeCell ref="C48:K48"/>
    <mergeCell ref="C49:K49"/>
    <mergeCell ref="A56:B57"/>
    <mergeCell ref="C144:K144"/>
    <mergeCell ref="N144:S144"/>
    <mergeCell ref="C150:K150"/>
    <mergeCell ref="N150:S150"/>
    <mergeCell ref="C151:K151"/>
    <mergeCell ref="N151:S151"/>
    <mergeCell ref="A44:B44"/>
    <mergeCell ref="A46:B46"/>
    <mergeCell ref="A163:S163"/>
    <mergeCell ref="C160:N160"/>
    <mergeCell ref="O160:Q160"/>
    <mergeCell ref="C161:N161"/>
    <mergeCell ref="N131:S131"/>
    <mergeCell ref="N106:Q106"/>
    <mergeCell ref="N118:S119"/>
    <mergeCell ref="N103:S103"/>
    <mergeCell ref="N108:Q108"/>
    <mergeCell ref="C110:N110"/>
    <mergeCell ref="O110:Q110"/>
    <mergeCell ref="R110:S110"/>
    <mergeCell ref="C118:K119"/>
    <mergeCell ref="R108:S108"/>
    <mergeCell ref="A374:D374"/>
    <mergeCell ref="A375:D375"/>
    <mergeCell ref="A376:D376"/>
    <mergeCell ref="A365:B365"/>
    <mergeCell ref="A377:I377"/>
    <mergeCell ref="A378:D378"/>
    <mergeCell ref="A379:D379"/>
    <mergeCell ref="A380:D380"/>
    <mergeCell ref="A381:D381"/>
    <mergeCell ref="A371:I371"/>
    <mergeCell ref="A372:I372"/>
    <mergeCell ref="N206:S206"/>
    <mergeCell ref="C207:K207"/>
    <mergeCell ref="N207:S207"/>
    <mergeCell ref="A208:S208"/>
    <mergeCell ref="C209:K209"/>
    <mergeCell ref="N209:S209"/>
    <mergeCell ref="C206:H206"/>
    <mergeCell ref="I206:K206"/>
    <mergeCell ref="C212:H212"/>
    <mergeCell ref="C210:K210"/>
    <mergeCell ref="N210:S210"/>
    <mergeCell ref="A211:S211"/>
    <mergeCell ref="N212:S212"/>
    <mergeCell ref="N213:S213"/>
    <mergeCell ref="N260:Q260"/>
    <mergeCell ref="A333:B333"/>
    <mergeCell ref="C333:L333"/>
    <mergeCell ref="M333:Q333"/>
    <mergeCell ref="E348:G348"/>
    <mergeCell ref="H348:I348"/>
    <mergeCell ref="A334:B334"/>
    <mergeCell ref="C334:L335"/>
    <mergeCell ref="M334:Q335"/>
    <mergeCell ref="A335:B335"/>
    <mergeCell ref="A347:I347"/>
    <mergeCell ref="A336:B336"/>
    <mergeCell ref="A337:S337"/>
    <mergeCell ref="A341:K342"/>
    <mergeCell ref="J344:K344"/>
    <mergeCell ref="A330:S330"/>
    <mergeCell ref="A331:B331"/>
    <mergeCell ref="C331:Q331"/>
    <mergeCell ref="A332:B332"/>
    <mergeCell ref="C332:L332"/>
    <mergeCell ref="M332:Q332"/>
    <mergeCell ref="A313:S313"/>
    <mergeCell ref="N215:S216"/>
    <mergeCell ref="C74:K74"/>
    <mergeCell ref="C75:K75"/>
    <mergeCell ref="C72:K73"/>
    <mergeCell ref="L72:L73"/>
    <mergeCell ref="M72:M73"/>
    <mergeCell ref="I212:K212"/>
    <mergeCell ref="C215:H215"/>
    <mergeCell ref="I215:K215"/>
    <mergeCell ref="A95:B95"/>
    <mergeCell ref="A103:B103"/>
    <mergeCell ref="L81:L82"/>
    <mergeCell ref="M81:M82"/>
    <mergeCell ref="C76:H76"/>
    <mergeCell ref="I76:K76"/>
    <mergeCell ref="C80:H80"/>
    <mergeCell ref="I80:K80"/>
    <mergeCell ref="C95:K95"/>
    <mergeCell ref="C213:K213"/>
    <mergeCell ref="A131:A134"/>
    <mergeCell ref="C131:K131"/>
    <mergeCell ref="C132:K132"/>
    <mergeCell ref="L95:L102"/>
    <mergeCell ref="M95:M102"/>
    <mergeCell ref="C96:K96"/>
    <mergeCell ref="A382:I382"/>
    <mergeCell ref="A395:D395"/>
    <mergeCell ref="A396:D396"/>
    <mergeCell ref="A351:C351"/>
    <mergeCell ref="A352:C352"/>
    <mergeCell ref="A361:B361"/>
    <mergeCell ref="U319:V323"/>
    <mergeCell ref="A320:B320"/>
    <mergeCell ref="C320:K320"/>
    <mergeCell ref="L320:M320"/>
    <mergeCell ref="N320:S320"/>
    <mergeCell ref="A321:S321"/>
    <mergeCell ref="A353:B353"/>
    <mergeCell ref="A354:C354"/>
    <mergeCell ref="A355:C355"/>
    <mergeCell ref="A356:C356"/>
    <mergeCell ref="A367:C367"/>
    <mergeCell ref="A368:C368"/>
    <mergeCell ref="A373:D373"/>
    <mergeCell ref="A349:B349"/>
    <mergeCell ref="A319:S319"/>
    <mergeCell ref="A322:B329"/>
    <mergeCell ref="C322:I322"/>
    <mergeCell ref="J322:K322"/>
    <mergeCell ref="A350:C350"/>
    <mergeCell ref="A366:C366"/>
    <mergeCell ref="A362:C362"/>
    <mergeCell ref="A363:C363"/>
    <mergeCell ref="A364:C364"/>
    <mergeCell ref="A357:B357"/>
    <mergeCell ref="A358:C358"/>
    <mergeCell ref="A359:C359"/>
    <mergeCell ref="A360:C360"/>
    <mergeCell ref="A402:D402"/>
    <mergeCell ref="A389:D389"/>
    <mergeCell ref="A390:D390"/>
    <mergeCell ref="A391:D391"/>
    <mergeCell ref="A392:I392"/>
    <mergeCell ref="A393:D393"/>
    <mergeCell ref="A394:D394"/>
    <mergeCell ref="A383:D383"/>
    <mergeCell ref="A384:D384"/>
    <mergeCell ref="A385:D385"/>
    <mergeCell ref="A386:D386"/>
    <mergeCell ref="A387:I387"/>
    <mergeCell ref="A388:D388"/>
    <mergeCell ref="A399:I399"/>
    <mergeCell ref="A400:I400"/>
    <mergeCell ref="A401:D401"/>
    <mergeCell ref="V325:V329"/>
    <mergeCell ref="C326:L326"/>
    <mergeCell ref="M326:N326"/>
    <mergeCell ref="C327:L327"/>
    <mergeCell ref="M327:N327"/>
    <mergeCell ref="C328:L328"/>
    <mergeCell ref="M328:N328"/>
    <mergeCell ref="C329:L329"/>
    <mergeCell ref="R324:S329"/>
    <mergeCell ref="C325:L325"/>
    <mergeCell ref="M325:N325"/>
    <mergeCell ref="M329:N329"/>
    <mergeCell ref="O325:Q329"/>
    <mergeCell ref="N322:Q322"/>
    <mergeCell ref="C323:Q323"/>
    <mergeCell ref="C324:Q324"/>
    <mergeCell ref="C309:K309"/>
    <mergeCell ref="N309:S309"/>
    <mergeCell ref="C310:K310"/>
    <mergeCell ref="N310:S310"/>
    <mergeCell ref="A311:K311"/>
    <mergeCell ref="C312:K312"/>
    <mergeCell ref="L312:M312"/>
    <mergeCell ref="N312:S312"/>
    <mergeCell ref="C314:I314"/>
    <mergeCell ref="J314:K314"/>
    <mergeCell ref="N314:Q314"/>
    <mergeCell ref="R314:S314"/>
    <mergeCell ref="C315:N315"/>
    <mergeCell ref="O315:Q315"/>
    <mergeCell ref="R315:S315"/>
    <mergeCell ref="C316:N316"/>
    <mergeCell ref="O316:Q316"/>
    <mergeCell ref="A317:S317"/>
    <mergeCell ref="A318:S318"/>
    <mergeCell ref="C306:K306"/>
    <mergeCell ref="N306:S306"/>
    <mergeCell ref="C307:K307"/>
    <mergeCell ref="N307:S307"/>
    <mergeCell ref="C308:K308"/>
    <mergeCell ref="N308:S308"/>
    <mergeCell ref="C302:K302"/>
    <mergeCell ref="N302:S302"/>
    <mergeCell ref="C303:K303"/>
    <mergeCell ref="N303:S303"/>
    <mergeCell ref="A304:S304"/>
    <mergeCell ref="C305:K305"/>
    <mergeCell ref="N305:S305"/>
    <mergeCell ref="C298:K298"/>
    <mergeCell ref="N298:S298"/>
    <mergeCell ref="A299:S299"/>
    <mergeCell ref="C300:K300"/>
    <mergeCell ref="N300:S300"/>
    <mergeCell ref="C301:K301"/>
    <mergeCell ref="N301:S301"/>
    <mergeCell ref="C295:K295"/>
    <mergeCell ref="N295:S295"/>
    <mergeCell ref="C296:K296"/>
    <mergeCell ref="N296:S296"/>
    <mergeCell ref="C297:K297"/>
    <mergeCell ref="N297:S297"/>
    <mergeCell ref="C292:K292"/>
    <mergeCell ref="N292:S292"/>
    <mergeCell ref="C293:K293"/>
    <mergeCell ref="N293:S293"/>
    <mergeCell ref="C294:K294"/>
    <mergeCell ref="N294:S294"/>
    <mergeCell ref="C289:K289"/>
    <mergeCell ref="N289:S289"/>
    <mergeCell ref="C290:K290"/>
    <mergeCell ref="N290:S290"/>
    <mergeCell ref="C291:K291"/>
    <mergeCell ref="N291:S291"/>
    <mergeCell ref="C285:K285"/>
    <mergeCell ref="N285:S285"/>
    <mergeCell ref="C286:K286"/>
    <mergeCell ref="N286:S286"/>
    <mergeCell ref="A287:S287"/>
    <mergeCell ref="C288:K288"/>
    <mergeCell ref="N288:S288"/>
    <mergeCell ref="C281:K281"/>
    <mergeCell ref="N281:S281"/>
    <mergeCell ref="A282:S282"/>
    <mergeCell ref="C283:K283"/>
    <mergeCell ref="N283:S283"/>
    <mergeCell ref="C284:K284"/>
    <mergeCell ref="N284:S284"/>
    <mergeCell ref="C278:K278"/>
    <mergeCell ref="N278:S278"/>
    <mergeCell ref="C279:K279"/>
    <mergeCell ref="N279:S279"/>
    <mergeCell ref="C280:K280"/>
    <mergeCell ref="N280:S280"/>
    <mergeCell ref="C275:K275"/>
    <mergeCell ref="N275:S275"/>
    <mergeCell ref="C276:K276"/>
    <mergeCell ref="N276:S276"/>
    <mergeCell ref="C277:K277"/>
    <mergeCell ref="N277:S277"/>
    <mergeCell ref="A271:S271"/>
    <mergeCell ref="C272:K272"/>
    <mergeCell ref="N272:S272"/>
    <mergeCell ref="C273:K273"/>
    <mergeCell ref="N273:S273"/>
    <mergeCell ref="C274:K274"/>
    <mergeCell ref="N274:S274"/>
    <mergeCell ref="A267:S267"/>
    <mergeCell ref="A268:S268"/>
    <mergeCell ref="A269:B270"/>
    <mergeCell ref="C269:K269"/>
    <mergeCell ref="L269:L270"/>
    <mergeCell ref="M269:M270"/>
    <mergeCell ref="N269:S270"/>
    <mergeCell ref="C270:I270"/>
    <mergeCell ref="J270:K270"/>
    <mergeCell ref="C264:N264"/>
    <mergeCell ref="O264:Q264"/>
    <mergeCell ref="C265:N265"/>
    <mergeCell ref="O265:Q265"/>
    <mergeCell ref="R265:S265"/>
    <mergeCell ref="C266:N266"/>
    <mergeCell ref="O266:Q266"/>
    <mergeCell ref="A261:S261"/>
    <mergeCell ref="C262:I262"/>
    <mergeCell ref="J262:K262"/>
    <mergeCell ref="N262:Q262"/>
    <mergeCell ref="R262:S262"/>
    <mergeCell ref="C263:N263"/>
    <mergeCell ref="O263:Q263"/>
    <mergeCell ref="R263:S263"/>
    <mergeCell ref="C258:K258"/>
    <mergeCell ref="N258:S258"/>
    <mergeCell ref="A259:K259"/>
    <mergeCell ref="C260:K260"/>
    <mergeCell ref="L260:M260"/>
    <mergeCell ref="A255:B256"/>
    <mergeCell ref="C255:K256"/>
    <mergeCell ref="L255:L256"/>
    <mergeCell ref="N255:S255"/>
    <mergeCell ref="N256:S256"/>
    <mergeCell ref="A257:S257"/>
    <mergeCell ref="N249:S249"/>
    <mergeCell ref="C250:K250"/>
    <mergeCell ref="M250:M252"/>
    <mergeCell ref="N250:S254"/>
    <mergeCell ref="C251:K251"/>
    <mergeCell ref="C252:K252"/>
    <mergeCell ref="C253:K253"/>
    <mergeCell ref="C254:K254"/>
    <mergeCell ref="C245:K245"/>
    <mergeCell ref="C246:K246"/>
    <mergeCell ref="C247:K247"/>
    <mergeCell ref="C248:K248"/>
    <mergeCell ref="C249:K249"/>
    <mergeCell ref="L249:L254"/>
    <mergeCell ref="C239:K239"/>
    <mergeCell ref="C240:K240"/>
    <mergeCell ref="C241:K241"/>
    <mergeCell ref="C242:K242"/>
    <mergeCell ref="C243:K243"/>
    <mergeCell ref="C244:K244"/>
    <mergeCell ref="C233:K233"/>
    <mergeCell ref="L233:L248"/>
    <mergeCell ref="N233:S233"/>
    <mergeCell ref="C234:K234"/>
    <mergeCell ref="M234:M248"/>
    <mergeCell ref="N234:S248"/>
    <mergeCell ref="C235:K235"/>
    <mergeCell ref="C236:K236"/>
    <mergeCell ref="C237:K237"/>
    <mergeCell ref="C238:K238"/>
    <mergeCell ref="A230:A232"/>
    <mergeCell ref="C230:K230"/>
    <mergeCell ref="N230:S230"/>
    <mergeCell ref="C231:K231"/>
    <mergeCell ref="M231:M232"/>
    <mergeCell ref="N231:S232"/>
    <mergeCell ref="C232:K232"/>
    <mergeCell ref="C227:K227"/>
    <mergeCell ref="N227:S227"/>
    <mergeCell ref="N228:S228"/>
    <mergeCell ref="C229:K229"/>
    <mergeCell ref="N229:S229"/>
    <mergeCell ref="C228:H228"/>
    <mergeCell ref="I228:K228"/>
    <mergeCell ref="N203:S203"/>
    <mergeCell ref="N204:S204"/>
    <mergeCell ref="N205:S205"/>
    <mergeCell ref="C199:I199"/>
    <mergeCell ref="J199:K199"/>
    <mergeCell ref="C200:K200"/>
    <mergeCell ref="N200:S200"/>
    <mergeCell ref="N201:S201"/>
    <mergeCell ref="C201:H201"/>
    <mergeCell ref="I201:K201"/>
    <mergeCell ref="C203:H203"/>
    <mergeCell ref="I203:K203"/>
    <mergeCell ref="C204:H204"/>
    <mergeCell ref="I204:K204"/>
    <mergeCell ref="C205:H205"/>
    <mergeCell ref="I205:K205"/>
    <mergeCell ref="A202:S202"/>
    <mergeCell ref="C195:K195"/>
    <mergeCell ref="N195:S195"/>
    <mergeCell ref="C191:K191"/>
    <mergeCell ref="C196:K196"/>
    <mergeCell ref="N196:S199"/>
    <mergeCell ref="C197:I197"/>
    <mergeCell ref="J197:K197"/>
    <mergeCell ref="L197:L198"/>
    <mergeCell ref="M197:M198"/>
    <mergeCell ref="C198:I198"/>
    <mergeCell ref="J198:K198"/>
    <mergeCell ref="I193:K193"/>
    <mergeCell ref="A187:S187"/>
    <mergeCell ref="C188:K188"/>
    <mergeCell ref="C181:K181"/>
    <mergeCell ref="N181:S181"/>
    <mergeCell ref="C182:K182"/>
    <mergeCell ref="N182:S182"/>
    <mergeCell ref="C186:K186"/>
    <mergeCell ref="N186:S186"/>
    <mergeCell ref="C194:K194"/>
    <mergeCell ref="N194:S194"/>
    <mergeCell ref="L188:L190"/>
    <mergeCell ref="M188:M190"/>
    <mergeCell ref="N188:S188"/>
    <mergeCell ref="N189:S190"/>
    <mergeCell ref="L191:L193"/>
    <mergeCell ref="M191:M193"/>
    <mergeCell ref="N191:S193"/>
    <mergeCell ref="C189:H189"/>
    <mergeCell ref="I189:K189"/>
    <mergeCell ref="C190:H190"/>
    <mergeCell ref="I190:K190"/>
    <mergeCell ref="C192:H192"/>
    <mergeCell ref="I192:K192"/>
    <mergeCell ref="C193:H193"/>
    <mergeCell ref="A175:S175"/>
    <mergeCell ref="A176:B186"/>
    <mergeCell ref="C176:K176"/>
    <mergeCell ref="N176:S176"/>
    <mergeCell ref="C177:L177"/>
    <mergeCell ref="N177:S179"/>
    <mergeCell ref="C178:L178"/>
    <mergeCell ref="C179:L179"/>
    <mergeCell ref="C180:K180"/>
    <mergeCell ref="N180:S180"/>
    <mergeCell ref="C183:K183"/>
    <mergeCell ref="C184:I184"/>
    <mergeCell ref="J184:K184"/>
    <mergeCell ref="C185:I185"/>
    <mergeCell ref="J185:K185"/>
    <mergeCell ref="L183:L185"/>
    <mergeCell ref="M183:M185"/>
    <mergeCell ref="N183:S185"/>
    <mergeCell ref="A167:S167"/>
    <mergeCell ref="A168:A174"/>
    <mergeCell ref="C168:K168"/>
    <mergeCell ref="N168:S168"/>
    <mergeCell ref="N169:S169"/>
    <mergeCell ref="N170:S170"/>
    <mergeCell ref="A164:B166"/>
    <mergeCell ref="C169:H169"/>
    <mergeCell ref="I169:K169"/>
    <mergeCell ref="C170:H170"/>
    <mergeCell ref="I170:K170"/>
    <mergeCell ref="C171:H171"/>
    <mergeCell ref="I171:K171"/>
    <mergeCell ref="N171:S171"/>
    <mergeCell ref="C172:K172"/>
    <mergeCell ref="N172:S172"/>
    <mergeCell ref="C173:K173"/>
    <mergeCell ref="N173:S173"/>
    <mergeCell ref="C174:K174"/>
    <mergeCell ref="N174:S174"/>
    <mergeCell ref="C164:J164"/>
    <mergeCell ref="M164:M165"/>
    <mergeCell ref="L164:L166"/>
    <mergeCell ref="N164:S166"/>
    <mergeCell ref="O161:Q161"/>
    <mergeCell ref="A162:S162"/>
    <mergeCell ref="A155:S155"/>
    <mergeCell ref="C156:K156"/>
    <mergeCell ref="L156:M156"/>
    <mergeCell ref="A157:S157"/>
    <mergeCell ref="C158:I158"/>
    <mergeCell ref="J158:K158"/>
    <mergeCell ref="N158:Q158"/>
    <mergeCell ref="R158:S161"/>
    <mergeCell ref="C159:N159"/>
    <mergeCell ref="N156:Q156"/>
    <mergeCell ref="O159:Q159"/>
    <mergeCell ref="U125:AC125"/>
    <mergeCell ref="A126:A130"/>
    <mergeCell ref="C126:K126"/>
    <mergeCell ref="N126:S126"/>
    <mergeCell ref="C127:K127"/>
    <mergeCell ref="N127:S127"/>
    <mergeCell ref="C128:K128"/>
    <mergeCell ref="N128:S128"/>
    <mergeCell ref="C129:K129"/>
    <mergeCell ref="N129:S129"/>
    <mergeCell ref="C130:K130"/>
    <mergeCell ref="N130:S130"/>
    <mergeCell ref="A125:S125"/>
    <mergeCell ref="U114:AI114"/>
    <mergeCell ref="C115:N115"/>
    <mergeCell ref="O115:Q115"/>
    <mergeCell ref="A116:S116"/>
    <mergeCell ref="C111:N111"/>
    <mergeCell ref="O111:Q111"/>
    <mergeCell ref="C112:N112"/>
    <mergeCell ref="O112:Q112"/>
    <mergeCell ref="C113:N113"/>
    <mergeCell ref="O113:Q113"/>
    <mergeCell ref="A83:S83"/>
    <mergeCell ref="C84:K84"/>
    <mergeCell ref="N84:S84"/>
    <mergeCell ref="A81:B82"/>
    <mergeCell ref="C81:K81"/>
    <mergeCell ref="C86:K86"/>
    <mergeCell ref="A84:B84"/>
    <mergeCell ref="A85:B85"/>
    <mergeCell ref="C87:K87"/>
    <mergeCell ref="C85:K85"/>
    <mergeCell ref="L85:L94"/>
    <mergeCell ref="M85:M94"/>
    <mergeCell ref="N85:S86"/>
    <mergeCell ref="N81:S82"/>
    <mergeCell ref="C82:I82"/>
    <mergeCell ref="J82:K82"/>
    <mergeCell ref="C93:K93"/>
    <mergeCell ref="C94:K94"/>
    <mergeCell ref="N87:S94"/>
    <mergeCell ref="C88:C89"/>
    <mergeCell ref="D88:H88"/>
    <mergeCell ref="I88:K92"/>
    <mergeCell ref="A79:S79"/>
    <mergeCell ref="N80:S80"/>
    <mergeCell ref="N39:S41"/>
    <mergeCell ref="C68:K68"/>
    <mergeCell ref="C56:K57"/>
    <mergeCell ref="N56:S57"/>
    <mergeCell ref="A55:B55"/>
    <mergeCell ref="L68:S68"/>
    <mergeCell ref="A76:B76"/>
    <mergeCell ref="A78:B78"/>
    <mergeCell ref="A80:B80"/>
    <mergeCell ref="A59:A60"/>
    <mergeCell ref="B59:B60"/>
    <mergeCell ref="C78:K78"/>
    <mergeCell ref="N78:S78"/>
    <mergeCell ref="C69:K69"/>
    <mergeCell ref="C70:K70"/>
    <mergeCell ref="C71:K71"/>
    <mergeCell ref="N69:S75"/>
    <mergeCell ref="C41:E41"/>
    <mergeCell ref="C42:K42"/>
    <mergeCell ref="N66:S66"/>
    <mergeCell ref="N63:S63"/>
    <mergeCell ref="A77:S77"/>
    <mergeCell ref="N26:S26"/>
    <mergeCell ref="A50:B50"/>
    <mergeCell ref="C50:S50"/>
    <mergeCell ref="A51:B51"/>
    <mergeCell ref="A52:B52"/>
    <mergeCell ref="A53:B53"/>
    <mergeCell ref="A54:B54"/>
    <mergeCell ref="L51:S55"/>
    <mergeCell ref="C51:G51"/>
    <mergeCell ref="C52:G52"/>
    <mergeCell ref="C53:G53"/>
    <mergeCell ref="C54:G54"/>
    <mergeCell ref="C55:G55"/>
    <mergeCell ref="H51:K51"/>
    <mergeCell ref="H52:K54"/>
    <mergeCell ref="H55:K55"/>
    <mergeCell ref="A28:B37"/>
    <mergeCell ref="N28:S28"/>
    <mergeCell ref="C36:H36"/>
    <mergeCell ref="I36:K36"/>
    <mergeCell ref="C37:H37"/>
    <mergeCell ref="I37:K37"/>
    <mergeCell ref="C34:H34"/>
    <mergeCell ref="N29:S37"/>
    <mergeCell ref="C10:J10"/>
    <mergeCell ref="K10:S13"/>
    <mergeCell ref="C11:E11"/>
    <mergeCell ref="A10:B13"/>
    <mergeCell ref="A21:B24"/>
    <mergeCell ref="C21:M21"/>
    <mergeCell ref="N21:S24"/>
    <mergeCell ref="C22:L22"/>
    <mergeCell ref="C23:L23"/>
    <mergeCell ref="C24:K24"/>
    <mergeCell ref="A16:B19"/>
    <mergeCell ref="C16:K18"/>
    <mergeCell ref="L16:M18"/>
    <mergeCell ref="N16:S19"/>
    <mergeCell ref="C19:E19"/>
    <mergeCell ref="A20:S20"/>
    <mergeCell ref="K4:N4"/>
    <mergeCell ref="O4:Q4"/>
    <mergeCell ref="R4:S4"/>
    <mergeCell ref="D5:N6"/>
    <mergeCell ref="A6:C6"/>
    <mergeCell ref="O6:Q6"/>
    <mergeCell ref="R6:S6"/>
    <mergeCell ref="A8:S8"/>
    <mergeCell ref="A9:S9"/>
    <mergeCell ref="A7:S7"/>
    <mergeCell ref="C214:K214"/>
    <mergeCell ref="N214:S214"/>
    <mergeCell ref="C216:K216"/>
    <mergeCell ref="L214:M214"/>
    <mergeCell ref="A1:B1"/>
    <mergeCell ref="C1:K1"/>
    <mergeCell ref="N1:S1"/>
    <mergeCell ref="A2:C5"/>
    <mergeCell ref="D2:G4"/>
    <mergeCell ref="H2:J2"/>
    <mergeCell ref="K2:N2"/>
    <mergeCell ref="O2:S2"/>
    <mergeCell ref="O5:Q5"/>
    <mergeCell ref="R5:S5"/>
    <mergeCell ref="C12:E12"/>
    <mergeCell ref="C13:E13"/>
    <mergeCell ref="A14:B15"/>
    <mergeCell ref="C14:K14"/>
    <mergeCell ref="M14:S15"/>
    <mergeCell ref="C15:K15"/>
    <mergeCell ref="H3:J4"/>
    <mergeCell ref="K3:N3"/>
    <mergeCell ref="O3:Q3"/>
    <mergeCell ref="R3:S3"/>
    <mergeCell ref="C224:K224"/>
    <mergeCell ref="C225:K225"/>
    <mergeCell ref="C226:K226"/>
    <mergeCell ref="C221:K221"/>
    <mergeCell ref="C222:K222"/>
    <mergeCell ref="C223:K223"/>
    <mergeCell ref="N220:S223"/>
    <mergeCell ref="N224:S226"/>
    <mergeCell ref="C219:K219"/>
    <mergeCell ref="N219:S219"/>
    <mergeCell ref="C220:K220"/>
    <mergeCell ref="A68:B68"/>
    <mergeCell ref="C218:H218"/>
    <mergeCell ref="I218:K218"/>
    <mergeCell ref="C109:N109"/>
    <mergeCell ref="C114:N114"/>
    <mergeCell ref="A217:S217"/>
    <mergeCell ref="N218:S218"/>
    <mergeCell ref="O114:Q114"/>
    <mergeCell ref="A117:S117"/>
    <mergeCell ref="A120:S120"/>
    <mergeCell ref="C121:H121"/>
    <mergeCell ref="I121:J121"/>
    <mergeCell ref="N121:S121"/>
    <mergeCell ref="C122:K122"/>
    <mergeCell ref="L122:L124"/>
    <mergeCell ref="M122:M124"/>
    <mergeCell ref="N122:S123"/>
    <mergeCell ref="C123:K124"/>
    <mergeCell ref="N124:S124"/>
    <mergeCell ref="O109:Q109"/>
    <mergeCell ref="R109:S109"/>
    <mergeCell ref="C136:K136"/>
    <mergeCell ref="N136:S136"/>
    <mergeCell ref="C137:K137"/>
    <mergeCell ref="C67:K67"/>
    <mergeCell ref="N67:S67"/>
    <mergeCell ref="N64:S64"/>
    <mergeCell ref="C65:K65"/>
    <mergeCell ref="N65:S65"/>
    <mergeCell ref="C63:H63"/>
    <mergeCell ref="I63:K63"/>
    <mergeCell ref="C64:H64"/>
    <mergeCell ref="F41:H41"/>
    <mergeCell ref="L38:L41"/>
    <mergeCell ref="M38:M41"/>
    <mergeCell ref="I39:K40"/>
    <mergeCell ref="F39:H39"/>
    <mergeCell ref="C44:K44"/>
    <mergeCell ref="M44:M45"/>
    <mergeCell ref="N44:S45"/>
    <mergeCell ref="C45:K45"/>
    <mergeCell ref="C46:K46"/>
    <mergeCell ref="M46:M49"/>
    <mergeCell ref="N46:S49"/>
    <mergeCell ref="C39:E39"/>
    <mergeCell ref="C40:E40"/>
    <mergeCell ref="C59:H59"/>
    <mergeCell ref="I59:K59"/>
    <mergeCell ref="C66:K66"/>
    <mergeCell ref="I64:K64"/>
    <mergeCell ref="C106:K106"/>
    <mergeCell ref="L106:M106"/>
    <mergeCell ref="A107:S107"/>
    <mergeCell ref="A38:B38"/>
    <mergeCell ref="A42:B42"/>
    <mergeCell ref="N59:S59"/>
    <mergeCell ref="N60:S60"/>
    <mergeCell ref="C60:H60"/>
    <mergeCell ref="I60:K60"/>
    <mergeCell ref="L61:S61"/>
    <mergeCell ref="C62:H62"/>
    <mergeCell ref="I62:K62"/>
    <mergeCell ref="C38:K38"/>
    <mergeCell ref="N38:S38"/>
    <mergeCell ref="A58:S58"/>
    <mergeCell ref="C61:K61"/>
    <mergeCell ref="N62:S62"/>
    <mergeCell ref="F40:H40"/>
    <mergeCell ref="N76:S76"/>
    <mergeCell ref="I41:K41"/>
    <mergeCell ref="A25:B25"/>
    <mergeCell ref="C25:K25"/>
    <mergeCell ref="N25:S25"/>
    <mergeCell ref="C27:K27"/>
    <mergeCell ref="A27:B27"/>
    <mergeCell ref="N27:S27"/>
    <mergeCell ref="I34:K34"/>
    <mergeCell ref="C35:K35"/>
    <mergeCell ref="L36:L37"/>
    <mergeCell ref="M36:M37"/>
    <mergeCell ref="L29:L35"/>
    <mergeCell ref="M29:M35"/>
    <mergeCell ref="C28:M28"/>
    <mergeCell ref="C29:H29"/>
    <mergeCell ref="I29:K29"/>
    <mergeCell ref="C30:H30"/>
    <mergeCell ref="I30:K30"/>
    <mergeCell ref="C33:H33"/>
    <mergeCell ref="I32:K32"/>
    <mergeCell ref="C31:K31"/>
    <mergeCell ref="C32:H32"/>
    <mergeCell ref="I33:K33"/>
    <mergeCell ref="A26:B26"/>
    <mergeCell ref="C26:K26"/>
    <mergeCell ref="N95:S96"/>
    <mergeCell ref="N97:S102"/>
    <mergeCell ref="C133:K133"/>
    <mergeCell ref="N133:S133"/>
    <mergeCell ref="C134:K134"/>
    <mergeCell ref="N134:S134"/>
    <mergeCell ref="A135:S135"/>
    <mergeCell ref="A136:A138"/>
    <mergeCell ref="C141:K141"/>
    <mergeCell ref="L141:L143"/>
    <mergeCell ref="N141:S143"/>
    <mergeCell ref="C142:K142"/>
    <mergeCell ref="C143:K143"/>
    <mergeCell ref="M141:M143"/>
    <mergeCell ref="N132:S132"/>
    <mergeCell ref="C138:K138"/>
    <mergeCell ref="N138:S138"/>
    <mergeCell ref="C139:K139"/>
    <mergeCell ref="C102:K102"/>
    <mergeCell ref="A118:B119"/>
    <mergeCell ref="C103:K103"/>
    <mergeCell ref="A104:S104"/>
    <mergeCell ref="A105:K105"/>
    <mergeCell ref="C108:I108"/>
    <mergeCell ref="N139:S139"/>
    <mergeCell ref="A140:S140"/>
    <mergeCell ref="N137:S137"/>
    <mergeCell ref="C97:C98"/>
    <mergeCell ref="D97:H97"/>
    <mergeCell ref="I97:K101"/>
    <mergeCell ref="C152:K152"/>
    <mergeCell ref="C153:K153"/>
    <mergeCell ref="C154:K154"/>
    <mergeCell ref="L153:L154"/>
    <mergeCell ref="M153:M154"/>
    <mergeCell ref="N153:S154"/>
    <mergeCell ref="C145:K145"/>
    <mergeCell ref="N145:S145"/>
    <mergeCell ref="C146:K146"/>
    <mergeCell ref="N146:S146"/>
    <mergeCell ref="C147:K147"/>
    <mergeCell ref="N147:S147"/>
    <mergeCell ref="C148:K148"/>
    <mergeCell ref="N148:S148"/>
    <mergeCell ref="C149:K149"/>
    <mergeCell ref="N149:S149"/>
    <mergeCell ref="A152:B154"/>
    <mergeCell ref="J108:K108"/>
  </mergeCells>
  <conditionalFormatting sqref="C325:C328">
    <cfRule type="containsText" dxfId="98" priority="205" operator="containsText" text="Must enter the Permit Date on '2 Project Information' tab to assess adequacy of HERS Index.">
      <formula>NOT(ISERROR(SEARCH("Must enter the Permit Date on '2 Project Information' tab to assess adequacy of HERS Index.",C325)))</formula>
    </cfRule>
  </conditionalFormatting>
  <conditionalFormatting sqref="C329">
    <cfRule type="containsText" dxfId="97" priority="207" operator="containsText" text="This home has not satisfied all of the Mandatory requirements of the Energy section from above.">
      <formula>NOT(ISERROR(SEARCH("This home has not satisfied all of the Mandatory requirements of the Energy section from above.",C329)))</formula>
    </cfRule>
    <cfRule type="containsText" dxfId="96" priority="208" operator="containsText" text="This home has not satisfied all of the Mandatory requirements of the Energy section from above.">
      <formula>NOT(ISERROR(SEARCH("This home has not satisfied all of the Mandatory requirements of the Energy section from above.",C329)))</formula>
    </cfRule>
  </conditionalFormatting>
  <conditionalFormatting sqref="J270:K270">
    <cfRule type="containsText" dxfId="95" priority="183" operator="containsText" text="# of Bedrooms?">
      <formula>NOT(ISERROR(SEARCH("# of Bedrooms?",J270)))</formula>
    </cfRule>
  </conditionalFormatting>
  <conditionalFormatting sqref="K121">
    <cfRule type="containsText" dxfId="94" priority="211" operator="containsText" text="Bedrooms?">
      <formula>NOT(ISERROR(SEARCH("Bedrooms?",K121)))</formula>
    </cfRule>
  </conditionalFormatting>
  <conditionalFormatting sqref="L14">
    <cfRule type="containsBlanks" dxfId="93" priority="164">
      <formula>LEN(TRIM(L14))=0</formula>
    </cfRule>
  </conditionalFormatting>
  <conditionalFormatting sqref="L15">
    <cfRule type="expression" dxfId="92" priority="122">
      <formula>L15="HERS Index Issue?"</formula>
    </cfRule>
  </conditionalFormatting>
  <conditionalFormatting sqref="L106 L156 L260">
    <cfRule type="containsText" dxfId="91" priority="216" operator="containsText" text="CANNOT CERTIFY">
      <formula>NOT(ISERROR(SEARCH("CANNOT CERTIFY",L106)))</formula>
    </cfRule>
  </conditionalFormatting>
  <conditionalFormatting sqref="L214">
    <cfRule type="cellIs" dxfId="90" priority="116" operator="equal">
      <formula>"Radon Zone 1 - High Risk"</formula>
    </cfRule>
  </conditionalFormatting>
  <conditionalFormatting sqref="L25:M25">
    <cfRule type="cellIs" dxfId="89" priority="23" operator="equal">
      <formula>"Not Met"</formula>
    </cfRule>
  </conditionalFormatting>
  <conditionalFormatting sqref="L312:M312">
    <cfRule type="containsText" dxfId="88" priority="209" operator="containsText" text="CANNOT CERTIFY">
      <formula>NOT(ISERROR(SEARCH("CANNOT CERTIFY",L312)))</formula>
    </cfRule>
  </conditionalFormatting>
  <conditionalFormatting sqref="L320:M320">
    <cfRule type="cellIs" dxfId="87" priority="186" operator="equal">
      <formula>"CANNOT CERTIFY"</formula>
    </cfRule>
    <cfRule type="cellIs" dxfId="86" priority="185" operator="equal">
      <formula>"?????"</formula>
    </cfRule>
  </conditionalFormatting>
  <conditionalFormatting sqref="M1:M5 M127:M141">
    <cfRule type="containsText" dxfId="85" priority="275" operator="containsText" text="Not Met">
      <formula>NOT(ISERROR(SEARCH("Not Met",M1)))</formula>
    </cfRule>
  </conditionalFormatting>
  <conditionalFormatting sqref="M8:M9">
    <cfRule type="containsText" dxfId="84" priority="224" operator="containsText" text="Not Met">
      <formula>NOT(ISERROR(SEARCH("Not Met",M8)))</formula>
    </cfRule>
  </conditionalFormatting>
  <conditionalFormatting sqref="M19">
    <cfRule type="expression" dxfId="83" priority="4">
      <formula>$M$19="Enter HERS Index above"</formula>
    </cfRule>
  </conditionalFormatting>
  <conditionalFormatting sqref="M20">
    <cfRule type="containsText" dxfId="82" priority="223" operator="containsText" text="Not Met">
      <formula>NOT(ISERROR(SEARCH("Not Met",M20)))</formula>
    </cfRule>
  </conditionalFormatting>
  <conditionalFormatting sqref="M24">
    <cfRule type="cellIs" dxfId="81" priority="222" operator="equal">
      <formula>"NEED INPUTS ABOVE"</formula>
    </cfRule>
    <cfRule type="cellIs" dxfId="80" priority="221" operator="equal">
      <formula>"FAILED OVERALL UA"</formula>
    </cfRule>
    <cfRule type="cellIs" dxfId="79" priority="220" operator="equal">
      <formula>"PASSED"</formula>
    </cfRule>
  </conditionalFormatting>
  <conditionalFormatting sqref="M29:M35">
    <cfRule type="expression" dxfId="78" priority="25">
      <formula>M29="DUCT LEAKAGE TESTS ISSUE - BGNM CANNOT CERTIFY THIS PROJECT.  Review all responses for practices 1.2.3(a), 1.2.3(b), 1.2.3(c) and 1.2.3(d)"</formula>
    </cfRule>
  </conditionalFormatting>
  <conditionalFormatting sqref="M38">
    <cfRule type="containsText" dxfId="77" priority="219" operator="containsText" text="Permit Date?">
      <formula>NOT(ISERROR(SEARCH("Permit Date?",M38)))</formula>
    </cfRule>
    <cfRule type="containsText" dxfId="76" priority="218" operator="containsText" text="CANNOT CERTIFY">
      <formula>NOT(ISERROR(SEARCH("CANNOT CERTIFY",M38)))</formula>
    </cfRule>
    <cfRule type="containsText" dxfId="75" priority="274" operator="containsText" text="Enter ACH50 Below">
      <formula>NOT(ISERROR(SEARCH("Enter ACH50 Below",M38)))</formula>
    </cfRule>
  </conditionalFormatting>
  <conditionalFormatting sqref="M42:M43">
    <cfRule type="expression" dxfId="74" priority="5">
      <formula>M42="Home does not qualify for 2021 SBTC"</formula>
    </cfRule>
  </conditionalFormatting>
  <conditionalFormatting sqref="M44:M45">
    <cfRule type="containsText" dxfId="73" priority="36" operator="containsText" text="Home does not qualify for 2021 SBTC">
      <formula>NOT(ISERROR(SEARCH("Home does not qualify for 2021 SBTC",M44)))</formula>
    </cfRule>
  </conditionalFormatting>
  <conditionalFormatting sqref="M46:M49">
    <cfRule type="containsText" dxfId="72" priority="35" operator="containsText" text="Home does not qualify for extra 2021 SBTC">
      <formula>NOT(ISERROR(SEARCH("Home does not qualify for extra 2021 SBTC",M46)))</formula>
    </cfRule>
  </conditionalFormatting>
  <conditionalFormatting sqref="M56">
    <cfRule type="expression" dxfId="71" priority="277">
      <formula>IF(#REF!="Yes",TRUE())</formula>
    </cfRule>
  </conditionalFormatting>
  <conditionalFormatting sqref="M59:M60">
    <cfRule type="containsText" dxfId="70" priority="112" operator="containsText" text="Not Met">
      <formula>NOT(ISERROR(SEARCH("Not Met",M59)))</formula>
    </cfRule>
    <cfRule type="containsText" dxfId="69" priority="111" operator="containsText" text="Enter response in cell to left">
      <formula>NOT(ISERROR(SEARCH("Enter response in cell to left",M59)))</formula>
    </cfRule>
  </conditionalFormatting>
  <conditionalFormatting sqref="M62:M64">
    <cfRule type="containsText" dxfId="68" priority="19" operator="containsText" text="Enter response in cell to left">
      <formula>NOT(ISERROR(SEARCH("Enter response in cell to left",M62)))</formula>
    </cfRule>
    <cfRule type="containsText" dxfId="67" priority="20" operator="containsText" text="Not Met">
      <formula>NOT(ISERROR(SEARCH("Not Met",M62)))</formula>
    </cfRule>
  </conditionalFormatting>
  <conditionalFormatting sqref="M76">
    <cfRule type="containsText" dxfId="66" priority="17" operator="containsText" text="Enter response in cell to left">
      <formula>NOT(ISERROR(SEARCH("Enter response in cell to left",M76)))</formula>
    </cfRule>
    <cfRule type="containsText" dxfId="65" priority="18" operator="containsText" text="Not Met">
      <formula>NOT(ISERROR(SEARCH("Not Met",M76)))</formula>
    </cfRule>
  </conditionalFormatting>
  <conditionalFormatting sqref="M80">
    <cfRule type="containsText" dxfId="64" priority="16" operator="containsText" text="Not Met">
      <formula>NOT(ISERROR(SEARCH("Not Met",M80)))</formula>
    </cfRule>
    <cfRule type="containsText" dxfId="63" priority="15" operator="containsText" text="Enter response in cell to left">
      <formula>NOT(ISERROR(SEARCH("Enter response in cell to left",M80)))</formula>
    </cfRule>
  </conditionalFormatting>
  <conditionalFormatting sqref="M81:M82">
    <cfRule type="expression" dxfId="62" priority="1">
      <formula>M81="Must enter CZ on '3 Project Information' and Raised Heel Truss Depth in Practice 1.5.2"</formula>
    </cfRule>
  </conditionalFormatting>
  <conditionalFormatting sqref="M103">
    <cfRule type="containsText" dxfId="61" priority="163" operator="containsText" text="Not Met">
      <formula>NOT(ISERROR(SEARCH("Not Met",M103)))</formula>
    </cfRule>
  </conditionalFormatting>
  <conditionalFormatting sqref="M118">
    <cfRule type="expression" dxfId="60" priority="118">
      <formula>IF(#REF!="Yes",TRUE())</formula>
    </cfRule>
  </conditionalFormatting>
  <conditionalFormatting sqref="M164:M165">
    <cfRule type="expression" dxfId="59" priority="6">
      <formula>M164="Project does not satify IAQ certification requirements with existing practice 3.0 responses.  Correct 3.0 responses or continue to practice 3.1.1."</formula>
    </cfRule>
  </conditionalFormatting>
  <conditionalFormatting sqref="M169:M171">
    <cfRule type="containsText" dxfId="58" priority="14" operator="containsText" text="Not Met">
      <formula>NOT(ISERROR(SEARCH("Not Met",M169)))</formula>
    </cfRule>
  </conditionalFormatting>
  <conditionalFormatting sqref="M172">
    <cfRule type="containsText" dxfId="57" priority="268" operator="containsText" text="Not Met">
      <formula>NOT(ISERROR(SEARCH("Not Met",M172)))</formula>
    </cfRule>
  </conditionalFormatting>
  <conditionalFormatting sqref="M179">
    <cfRule type="containsText" dxfId="56" priority="210" operator="containsText" text="Not Met">
      <formula>NOT(ISERROR(SEARCH("Not Met",M179)))</formula>
    </cfRule>
  </conditionalFormatting>
  <conditionalFormatting sqref="M180:M182 M186">
    <cfRule type="containsText" dxfId="55" priority="184" operator="containsText" text="Not Met">
      <formula>NOT(ISERROR(SEARCH("Not Met",M180)))</formula>
    </cfRule>
  </conditionalFormatting>
  <conditionalFormatting sqref="M188">
    <cfRule type="containsBlanks" dxfId="54" priority="279">
      <formula>LEN(TRIM(M188))=0</formula>
    </cfRule>
    <cfRule type="cellIs" dxfId="53" priority="171" operator="equal">
      <formula>"Not Met"</formula>
    </cfRule>
  </conditionalFormatting>
  <conditionalFormatting sqref="M188:M193">
    <cfRule type="expression" dxfId="52" priority="7">
      <formula>M188="Review response to 3.3.1(b)"</formula>
    </cfRule>
  </conditionalFormatting>
  <conditionalFormatting sqref="M191">
    <cfRule type="cellIs" dxfId="51" priority="8" operator="equal">
      <formula>"Not Met"</formula>
    </cfRule>
    <cfRule type="containsBlanks" dxfId="50" priority="9">
      <formula>LEN(TRIM(M191))=0</formula>
    </cfRule>
  </conditionalFormatting>
  <conditionalFormatting sqref="M195">
    <cfRule type="containsText" dxfId="49" priority="264" operator="containsText" text="Not Met">
      <formula>NOT(ISERROR(SEARCH("Not Met",M195)))</formula>
    </cfRule>
  </conditionalFormatting>
  <conditionalFormatting sqref="M201">
    <cfRule type="containsBlanks" dxfId="48" priority="237">
      <formula>LEN(TRIM(M201))=0</formula>
    </cfRule>
    <cfRule type="cellIs" dxfId="47" priority="250" operator="equal">
      <formula>"Not Met"</formula>
    </cfRule>
  </conditionalFormatting>
  <conditionalFormatting sqref="M203:M206">
    <cfRule type="cellIs" dxfId="46" priority="83" operator="equal">
      <formula>"Not Met"</formula>
    </cfRule>
    <cfRule type="containsBlanks" dxfId="45" priority="82">
      <formula>LEN(TRIM(M203))=0</formula>
    </cfRule>
  </conditionalFormatting>
  <conditionalFormatting sqref="M207">
    <cfRule type="containsText" dxfId="44" priority="263" operator="containsText" text="Not Met">
      <formula>NOT(ISERROR(SEARCH("Not Met",M207)))</formula>
    </cfRule>
  </conditionalFormatting>
  <conditionalFormatting sqref="M209:M210">
    <cfRule type="containsText" dxfId="43" priority="261" operator="containsText" text="Not Met">
      <formula>NOT(ISERROR(SEARCH("Not Met",M209)))</formula>
    </cfRule>
  </conditionalFormatting>
  <conditionalFormatting sqref="M212">
    <cfRule type="cellIs" dxfId="42" priority="248" operator="equal">
      <formula>"Not Met"</formula>
    </cfRule>
    <cfRule type="containsBlanks" dxfId="41" priority="235">
      <formula>LEN(TRIM(M212))=0</formula>
    </cfRule>
  </conditionalFormatting>
  <conditionalFormatting sqref="M213">
    <cfRule type="containsText" dxfId="40" priority="260" operator="containsText" text="Not Met">
      <formula>NOT(ISERROR(SEARCH("Not Met",M213)))</formula>
    </cfRule>
  </conditionalFormatting>
  <conditionalFormatting sqref="M215">
    <cfRule type="cellIs" dxfId="39" priority="81" operator="equal">
      <formula>"Not Met"</formula>
    </cfRule>
    <cfRule type="containsBlanks" dxfId="38" priority="80">
      <formula>LEN(TRIM(M215))=0</formula>
    </cfRule>
  </conditionalFormatting>
  <conditionalFormatting sqref="M218">
    <cfRule type="cellIs" dxfId="37" priority="79" operator="equal">
      <formula>"Not Met"</formula>
    </cfRule>
    <cfRule type="containsBlanks" dxfId="36" priority="78">
      <formula>LEN(TRIM(M218))=0</formula>
    </cfRule>
  </conditionalFormatting>
  <conditionalFormatting sqref="M219">
    <cfRule type="containsText" dxfId="35" priority="245" operator="containsText" text="Not Met">
      <formula>NOT(ISERROR(SEARCH("Not Met",M219)))</formula>
    </cfRule>
  </conditionalFormatting>
  <conditionalFormatting sqref="M224">
    <cfRule type="containsText" dxfId="34" priority="231" operator="containsText" text="Not Met">
      <formula>NOT(ISERROR(SEARCH("Not Met",M224)))</formula>
    </cfRule>
  </conditionalFormatting>
  <conditionalFormatting sqref="M228">
    <cfRule type="containsBlanks" dxfId="33" priority="280">
      <formula>LEN(TRIM(M228))=0</formula>
    </cfRule>
    <cfRule type="cellIs" dxfId="32" priority="77" operator="equal">
      <formula>"Not Met"</formula>
    </cfRule>
  </conditionalFormatting>
  <conditionalFormatting sqref="M229:M230">
    <cfRule type="containsText" dxfId="31" priority="230" operator="containsText" text="Not Met">
      <formula>NOT(ISERROR(SEARCH("Not Met",M229)))</formula>
    </cfRule>
  </conditionalFormatting>
  <conditionalFormatting sqref="M233">
    <cfRule type="containsText" dxfId="30" priority="229" operator="containsText" text="Not Met">
      <formula>NOT(ISERROR(SEARCH("Not Met",M233)))</formula>
    </cfRule>
  </conditionalFormatting>
  <conditionalFormatting sqref="M249">
    <cfRule type="containsText" dxfId="29" priority="228" operator="containsText" text="Not Met">
      <formula>NOT(ISERROR(SEARCH("Not Met",M249)))</formula>
    </cfRule>
  </conditionalFormatting>
  <conditionalFormatting sqref="M253">
    <cfRule type="containsText" dxfId="28" priority="244" operator="containsText" text="Not Met">
      <formula>NOT(ISERROR(SEARCH("Not Met",M253)))</formula>
    </cfRule>
  </conditionalFormatting>
  <conditionalFormatting sqref="M255">
    <cfRule type="containsText" dxfId="27" priority="227" operator="containsText" text="Not Met">
      <formula>NOT(ISERROR(SEARCH("Not Met",M255)))</formula>
    </cfRule>
  </conditionalFormatting>
  <conditionalFormatting sqref="M257:M258">
    <cfRule type="containsText" dxfId="26" priority="256" operator="containsText" text="Not Met">
      <formula>NOT(ISERROR(SEARCH("Not Met",M257)))</formula>
    </cfRule>
  </conditionalFormatting>
  <conditionalFormatting sqref="M269:M270">
    <cfRule type="cellIs" dxfId="25" priority="182" operator="equal">
      <formula>"Number of Bedrooms or CFA?"</formula>
    </cfRule>
  </conditionalFormatting>
  <conditionalFormatting sqref="M325:N329">
    <cfRule type="containsText" dxfId="24" priority="202" operator="containsText" text="Not Enough Points for Certification">
      <formula>NOT(ISERROR(SEARCH("Not Enough Points for Certification",M325)))</formula>
    </cfRule>
  </conditionalFormatting>
  <conditionalFormatting sqref="N106:Q106">
    <cfRule type="expression" dxfId="23" priority="13">
      <formula>N106=""</formula>
    </cfRule>
  </conditionalFormatting>
  <conditionalFormatting sqref="N156:Q156">
    <cfRule type="expression" dxfId="22" priority="12">
      <formula>N156=""</formula>
    </cfRule>
  </conditionalFormatting>
  <conditionalFormatting sqref="N260:Q260">
    <cfRule type="expression" dxfId="21" priority="11">
      <formula>N260=""</formula>
    </cfRule>
  </conditionalFormatting>
  <conditionalFormatting sqref="O110:O115">
    <cfRule type="containsText" dxfId="20" priority="191" operator="containsText" text="No">
      <formula>NOT(ISERROR(SEARCH("No",O110)))</formula>
    </cfRule>
  </conditionalFormatting>
  <conditionalFormatting sqref="O159:O161">
    <cfRule type="containsText" dxfId="19" priority="189" operator="containsText" text="No">
      <formula>NOT(ISERROR(SEARCH("No",O159)))</formula>
    </cfRule>
  </conditionalFormatting>
  <conditionalFormatting sqref="O263:O265">
    <cfRule type="containsText" dxfId="18" priority="187" operator="containsText" text="No">
      <formula>NOT(ISERROR(SEARCH("No",O263)))</formula>
    </cfRule>
  </conditionalFormatting>
  <conditionalFormatting sqref="O325">
    <cfRule type="containsText" dxfId="17" priority="206" operator="containsText" text="Must enter the Permit Date on '2 Project Information' tab to assess adequacy of HERS Index.">
      <formula>NOT(ISERROR(SEARCH("Must enter the Permit Date on '2 Project Information' tab to assess adequacy of HERS Index.",O325)))</formula>
    </cfRule>
  </conditionalFormatting>
  <conditionalFormatting sqref="O109:Q109">
    <cfRule type="containsText" dxfId="16" priority="100" operator="containsText" text="HERS Index Issue?">
      <formula>NOT(ISERROR(SEARCH("HERS Index Issue?",O109)))</formula>
    </cfRule>
  </conditionalFormatting>
  <conditionalFormatting sqref="O266:Q266">
    <cfRule type="containsText" dxfId="15" priority="75" operator="containsText" text="Not Enough Points for Certification">
      <formula>NOT(ISERROR(SEARCH("Not Enough Points for Certification",O266)))</formula>
    </cfRule>
  </conditionalFormatting>
  <conditionalFormatting sqref="O316:Q316">
    <cfRule type="containsText" dxfId="14" priority="73" operator="containsText" text="Not Enough Points for Certification">
      <formula>NOT(ISERROR(SEARCH("Not Enough Points for Certification",O316)))</formula>
    </cfRule>
  </conditionalFormatting>
  <conditionalFormatting sqref="U114:AI114">
    <cfRule type="containsText" dxfId="13" priority="198" operator="containsText" text="This home has not satisfied all of the Mandatory requirements of the Energy section from above.">
      <formula>NOT(ISERROR(SEARCH("This home has not satisfied all of the Mandatory requirements of the Energy section from above.",U114)))</formula>
    </cfRule>
    <cfRule type="containsText" dxfId="12" priority="199" operator="containsText" text="This home has not satisfied all of the Mandatory requirements of the Energy section from above.">
      <formula>NOT(ISERROR(SEARCH("This home has not satisfied all of the Mandatory requirements of the Energy section from above.",U114)))</formula>
    </cfRule>
  </conditionalFormatting>
  <dataValidations count="44">
    <dataValidation type="decimal" allowBlank="1" showInputMessage="1" showErrorMessage="1" sqref="M22:M23" xr:uid="{00000000-0002-0000-0300-000000000000}">
      <formula1>0</formula1>
      <formula2>10000</formula2>
    </dataValidation>
    <dataValidation type="whole" allowBlank="1" showInputMessage="1" showErrorMessage="1" sqref="L14" xr:uid="{00000000-0002-0000-0300-000001000000}">
      <formula1>-100</formula1>
      <formula2>100</formula2>
    </dataValidation>
    <dataValidation type="list" allowBlank="1" showInputMessage="1" showErrorMessage="1" error="Must select from dropdown list!" prompt="Select answer from dropdown list" sqref="I190 I193 I201 I203:I206" xr:uid="{00000000-0002-0000-0300-000002000000}">
      <formula1>YesOrNoOrNA</formula1>
    </dataValidation>
    <dataValidation type="list" allowBlank="1" showInputMessage="1" showErrorMessage="1" sqref="M298" xr:uid="{00000000-0002-0000-0300-000003000000}">
      <formula1>PointList47</formula1>
    </dataValidation>
    <dataValidation showInputMessage="1" showErrorMessage="1" sqref="M46:M49" xr:uid="{00000000-0002-0000-0300-000004000000}"/>
    <dataValidation type="list" allowBlank="1" showInputMessage="1" showErrorMessage="1" sqref="M122:M124 M186 M274:M276 M66 M278 M210 M85:M94 M181 M207 M129 M200 M103 M150:M151" xr:uid="{00000000-0002-0000-0300-000005000000}">
      <formula1>PointList5</formula1>
    </dataValidation>
    <dataValidation type="list" allowBlank="1" showInputMessage="1" showErrorMessage="1" prompt="Select Yes, No, or Not Applicable" sqref="J197:K198" xr:uid="{00000000-0002-0000-0300-000006000000}">
      <formula1>YesNoOrNA</formula1>
    </dataValidation>
    <dataValidation type="decimal" allowBlank="1" showErrorMessage="1" prompt="Enter tested ventilation as a WHOLE Number of CFM" sqref="M177" xr:uid="{00000000-0002-0000-0300-000007000000}">
      <formula1>0</formula1>
      <formula2>500</formula2>
    </dataValidation>
    <dataValidation type="list" allowBlank="1" showInputMessage="1" showErrorMessage="1" sqref="I228 L43 L45 L47:L49 I29:K30 I192 I212 I60:K60 I189:K189 L56 L118 K164 K166" xr:uid="{00000000-0002-0000-0300-000008000000}">
      <formula1>YesOrNo</formula1>
    </dataValidation>
    <dataValidation type="list" allowBlank="1" showInputMessage="1" showErrorMessage="1" sqref="I170 M26" xr:uid="{00000000-0002-0000-0300-000009000000}">
      <formula1>PointList45</formula1>
    </dataValidation>
    <dataValidation type="list" allowBlank="1" showInputMessage="1" showErrorMessage="1" sqref="M220:M223" xr:uid="{00000000-0002-0000-0300-00000A000000}">
      <formula1>PointList39</formula1>
    </dataValidation>
    <dataValidation type="list" allowBlank="1" showInputMessage="1" showErrorMessage="1" sqref="M130 M279" xr:uid="{00000000-0002-0000-0300-00000B000000}">
      <formula1>PointList35</formula1>
    </dataValidation>
    <dataValidation type="list" allowBlank="1" showInputMessage="1" showErrorMessage="1" sqref="I59:K59 I62:K63" xr:uid="{00000000-0002-0000-0300-00000C000000}">
      <formula1>PointList9</formula1>
    </dataValidation>
    <dataValidation type="list" allowBlank="1" showInputMessage="1" showErrorMessage="1" prompt="Enter worst-case depth of space from top of top plate to bottom of roof sheathing of exterior walls.  This depth provides space to accommodate greater insulation R-value over top plates of exterior walls." sqref="J82:K82" xr:uid="{00000000-0002-0000-0300-00000D000000}">
      <formula1>PointList57</formula1>
    </dataValidation>
    <dataValidation type="list" allowBlank="1" showInputMessage="1" showErrorMessage="1" sqref="I80" xr:uid="{00000000-0002-0000-0300-00000E000000}">
      <formula1>PointList8</formula1>
    </dataValidation>
    <dataValidation type="date" errorStyle="warning" operator="lessThan" showInputMessage="1" showErrorMessage="1" prompt="Must enter Permit Date on '2 Project Information' tab._x000a_" sqref="R6:S6" xr:uid="{00000000-0002-0000-0300-00000F000000}">
      <formula1>43101</formula1>
    </dataValidation>
    <dataValidation type="list" allowBlank="1" showInputMessage="1" showErrorMessage="1" sqref="I169 I76" xr:uid="{00000000-0002-0000-0300-000010000000}">
      <formula1>PointList41</formula1>
    </dataValidation>
    <dataValidation type="list" allowBlank="1" showInputMessage="1" showErrorMessage="1" sqref="M149 M213 M172 M195 M127:M128 M209 M256 M134 M292:M294 M300:M303 M272 M277 M280:M281 M283 M285:M286 M288:M290 M141:M146 M258 M297 M65 M216 M95:M102 M152" xr:uid="{00000000-0002-0000-0300-000011000000}">
      <formula1>PointList4</formula1>
    </dataValidation>
    <dataValidation type="list" allowBlank="1" showInputMessage="1" showErrorMessage="1" sqref="M67 M295 M153:M154" xr:uid="{00000000-0002-0000-0300-000012000000}">
      <formula1>PointList7</formula1>
    </dataValidation>
    <dataValidation type="list" allowBlank="1" showInputMessage="1" showErrorMessage="1" sqref="M148 M308:M310 M225:M226 M229 M69:M75" xr:uid="{00000000-0002-0000-0300-000013000000}">
      <formula1>PointList3</formula1>
    </dataValidation>
    <dataValidation type="list" allowBlank="1" showInputMessage="1" showErrorMessage="1" sqref="M84 M173:M174 M78" xr:uid="{00000000-0002-0000-0300-000014000000}">
      <formula1>PointList6</formula1>
    </dataValidation>
    <dataValidation type="list" allowBlank="1" showInputMessage="1" showErrorMessage="1" sqref="M137" xr:uid="{00000000-0002-0000-0300-000015000000}">
      <formula1>PointList12</formula1>
    </dataValidation>
    <dataValidation type="list" allowBlank="1" showInputMessage="1" showErrorMessage="1" sqref="M138 M273" xr:uid="{00000000-0002-0000-0300-000016000000}">
      <formula1>PointList13</formula1>
    </dataValidation>
    <dataValidation type="list" allowBlank="1" showInputMessage="1" showErrorMessage="1" sqref="M284" xr:uid="{00000000-0002-0000-0300-000017000000}">
      <formula1>PointList17</formula1>
    </dataValidation>
    <dataValidation type="list" allowBlank="1" showInputMessage="1" showErrorMessage="1" sqref="M307" xr:uid="{00000000-0002-0000-0300-000018000000}">
      <formula1>PointList44</formula1>
    </dataValidation>
    <dataValidation type="list" allowBlank="1" showErrorMessage="1" sqref="M305:M306" xr:uid="{00000000-0002-0000-0300-000019000000}">
      <formula1>PointList44</formula1>
    </dataValidation>
    <dataValidation type="list" allowBlank="1" showInputMessage="1" showErrorMessage="1" sqref="M147 M231:M232" xr:uid="{00000000-0002-0000-0300-00001A000000}">
      <formula1>PointList20</formula1>
    </dataValidation>
    <dataValidation type="list" allowBlank="1" showInputMessage="1" showErrorMessage="1" sqref="M182" xr:uid="{00000000-0002-0000-0300-00001B000000}">
      <formula1>PointList43</formula1>
    </dataValidation>
    <dataValidation type="list" allowBlank="1" showInputMessage="1" showErrorMessage="1" sqref="I171:K171" xr:uid="{00000000-0002-0000-0300-00001C000000}">
      <formula1>PointList55</formula1>
    </dataValidation>
    <dataValidation type="decimal" allowBlank="1" showInputMessage="1" showErrorMessage="1" sqref="M178" xr:uid="{00000000-0002-0000-0300-00001D000000}">
      <formula1>0</formula1>
      <formula2>500</formula2>
    </dataValidation>
    <dataValidation type="list" allowBlank="1" showInputMessage="1" showErrorMessage="1" sqref="M194" xr:uid="{00000000-0002-0000-0300-00001E000000}">
      <formula1>PointList27</formula1>
    </dataValidation>
    <dataValidation type="list" allowBlank="1" showInputMessage="1" showErrorMessage="1" sqref="M253" xr:uid="{00000000-0002-0000-0300-00001F000000}">
      <formula1>PointList28</formula1>
    </dataValidation>
    <dataValidation type="list" allowBlank="1" showInputMessage="1" showErrorMessage="1" sqref="M234:M248" xr:uid="{00000000-0002-0000-0300-000020000000}">
      <formula1>PointList40</formula1>
    </dataValidation>
    <dataValidation type="list" allowBlank="1" showInputMessage="1" showErrorMessage="1" sqref="M133" xr:uid="{00000000-0002-0000-0300-000021000000}">
      <formula1>PointList32</formula1>
    </dataValidation>
    <dataValidation type="decimal" allowBlank="1" showErrorMessage="1" error="Eneter building leakage in ACH50" sqref="I41:K41" xr:uid="{00000000-0002-0000-0300-000022000000}">
      <formula1>0.01</formula1>
      <formula2>20</formula2>
    </dataValidation>
    <dataValidation type="list" allowBlank="1" showInputMessage="1" showErrorMessage="1" sqref="I64:K64" xr:uid="{00000000-0002-0000-0300-000023000000}">
      <formula1>PointList26</formula1>
    </dataValidation>
    <dataValidation type="list" allowBlank="1" showInputMessage="1" showErrorMessage="1" sqref="M132" xr:uid="{00000000-0002-0000-0300-000024000000}">
      <formula1>PointList37</formula1>
    </dataValidation>
    <dataValidation type="whole" allowBlank="1" showInputMessage="1" showErrorMessage="1" error="CFM must be entered as whole number" prompt="Input CFM as whole number greater than 0" sqref="I33:K33 I36:K36" xr:uid="{00000000-0002-0000-0300-000025000000}">
      <formula1>1</formula1>
      <formula2>1000</formula2>
    </dataValidation>
    <dataValidation type="list" allowBlank="1" showInputMessage="1" showErrorMessage="1" prompt="Must select input from the in-cell dropdown list" sqref="I32:K32" xr:uid="{00000000-0002-0000-0300-000026000000}">
      <formula1>DuctTestCond</formula1>
    </dataValidation>
    <dataValidation type="list" allowBlank="1" showInputMessage="1" showErrorMessage="1" error="Must select from dropdown list!" prompt="Select answer from dropdown list" sqref="I215:K215" xr:uid="{00000000-0002-0000-0300-000027000000}">
      <formula1>PointList25</formula1>
    </dataValidation>
    <dataValidation type="list" allowBlank="1" showInputMessage="1" showErrorMessage="1" error="Must select from dropdown list!" prompt="Select answer from dropdown list" sqref="I218:K218" xr:uid="{00000000-0002-0000-0300-000028000000}">
      <formula1>PointList26</formula1>
    </dataValidation>
    <dataValidation type="list" allowBlank="1" showInputMessage="1" showErrorMessage="1" sqref="J165:K165" xr:uid="{00000000-0002-0000-0300-000029000000}">
      <formula1>PointList52</formula1>
    </dataValidation>
    <dataValidation type="list" allowBlank="1" showInputMessage="1" showErrorMessage="1" sqref="M27" xr:uid="{00000000-0002-0000-0300-00002A000000}">
      <formula1>PointList54</formula1>
    </dataValidation>
    <dataValidation type="list" allowBlank="1" showInputMessage="1" showErrorMessage="1" sqref="J185:K185" xr:uid="{00000000-0002-0000-0300-00002B000000}">
      <formula1>PointList56</formula1>
    </dataValidation>
  </dataValidations>
  <printOptions horizontalCentered="1" verticalCentered="1" gridLines="1"/>
  <pageMargins left="0.25" right="0.25" top="0.75" bottom="0.75" header="0.3" footer="0.3"/>
  <pageSetup scale="71" orientation="landscape" r:id="rId1"/>
  <headerFooter>
    <oddHeader>&amp;L&amp;F&amp;R&amp;A</oddHead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41"/>
  <sheetViews>
    <sheetView workbookViewId="0">
      <selection activeCell="C15" sqref="C15"/>
    </sheetView>
  </sheetViews>
  <sheetFormatPr defaultColWidth="8.85546875" defaultRowHeight="15" x14ac:dyDescent="0.25"/>
  <cols>
    <col min="3" max="3" width="45.7109375" customWidth="1"/>
    <col min="4" max="4" width="1.28515625" customWidth="1"/>
    <col min="5" max="12" width="12.28515625" customWidth="1"/>
  </cols>
  <sheetData>
    <row r="1" spans="1:12" x14ac:dyDescent="0.25">
      <c r="A1" s="222" t="s">
        <v>1256</v>
      </c>
      <c r="B1" s="222" t="s">
        <v>1257</v>
      </c>
      <c r="C1" s="222" t="s">
        <v>1273</v>
      </c>
      <c r="E1" s="222" t="s">
        <v>1274</v>
      </c>
      <c r="F1" s="222" t="s">
        <v>1275</v>
      </c>
      <c r="G1" s="222" t="s">
        <v>1276</v>
      </c>
      <c r="H1" s="222" t="s">
        <v>1277</v>
      </c>
      <c r="I1" s="222" t="s">
        <v>1278</v>
      </c>
      <c r="J1" s="222" t="s">
        <v>1279</v>
      </c>
      <c r="K1" s="222" t="s">
        <v>1280</v>
      </c>
      <c r="L1" s="222" t="s">
        <v>1281</v>
      </c>
    </row>
    <row r="2" spans="1:12" x14ac:dyDescent="0.25">
      <c r="A2" s="223"/>
      <c r="B2" s="223"/>
      <c r="E2" s="223"/>
      <c r="F2" s="223"/>
      <c r="G2" s="223"/>
      <c r="H2" s="223"/>
      <c r="I2" s="223"/>
      <c r="J2" s="223"/>
      <c r="K2" s="223"/>
      <c r="L2" s="223"/>
    </row>
    <row r="3" spans="1:12" x14ac:dyDescent="0.25">
      <c r="A3" s="223" t="s">
        <v>1231</v>
      </c>
      <c r="B3" s="223" t="s">
        <v>1261</v>
      </c>
      <c r="C3" t="s">
        <v>1272</v>
      </c>
      <c r="E3" s="223" t="s">
        <v>53</v>
      </c>
      <c r="F3" s="223" t="s">
        <v>53</v>
      </c>
      <c r="G3" s="223" t="s">
        <v>53</v>
      </c>
      <c r="H3" s="223" t="s">
        <v>53</v>
      </c>
      <c r="I3" s="223" t="s">
        <v>55</v>
      </c>
      <c r="J3" s="223" t="s">
        <v>55</v>
      </c>
      <c r="K3" s="223" t="s">
        <v>55</v>
      </c>
      <c r="L3" s="223" t="s">
        <v>55</v>
      </c>
    </row>
    <row r="4" spans="1:12" x14ac:dyDescent="0.25">
      <c r="A4" s="223" t="s">
        <v>1258</v>
      </c>
      <c r="B4" s="223" t="s">
        <v>1259</v>
      </c>
      <c r="C4" t="s">
        <v>1260</v>
      </c>
      <c r="E4" s="223" t="s">
        <v>53</v>
      </c>
      <c r="F4" s="223" t="s">
        <v>53</v>
      </c>
      <c r="G4" s="223" t="s">
        <v>53</v>
      </c>
      <c r="H4" s="223" t="s">
        <v>53</v>
      </c>
      <c r="I4" s="223" t="s">
        <v>55</v>
      </c>
      <c r="J4" s="223" t="s">
        <v>55</v>
      </c>
      <c r="K4" s="223" t="s">
        <v>55</v>
      </c>
      <c r="L4" s="223" t="s">
        <v>55</v>
      </c>
    </row>
    <row r="5" spans="1:12" x14ac:dyDescent="0.25">
      <c r="A5" s="1323" t="s">
        <v>1265</v>
      </c>
      <c r="B5" s="1324"/>
      <c r="C5" s="1324"/>
      <c r="E5" s="223"/>
      <c r="F5" s="223"/>
      <c r="G5" s="223"/>
      <c r="H5" s="223"/>
      <c r="I5" s="223"/>
      <c r="J5" s="223"/>
      <c r="K5" s="223"/>
      <c r="L5" s="223"/>
    </row>
    <row r="6" spans="1:12" x14ac:dyDescent="0.25">
      <c r="A6" s="223" t="s">
        <v>1262</v>
      </c>
      <c r="B6" s="223" t="s">
        <v>1263</v>
      </c>
      <c r="C6" t="s">
        <v>1264</v>
      </c>
      <c r="E6" s="223" t="s">
        <v>1284</v>
      </c>
      <c r="F6" s="223" t="s">
        <v>1287</v>
      </c>
      <c r="G6" s="223" t="s">
        <v>1289</v>
      </c>
      <c r="H6" s="223" t="s">
        <v>1289</v>
      </c>
      <c r="I6" s="223" t="s">
        <v>1284</v>
      </c>
      <c r="J6" s="223" t="s">
        <v>1287</v>
      </c>
      <c r="K6" s="223" t="s">
        <v>1289</v>
      </c>
      <c r="L6" s="223" t="s">
        <v>1289</v>
      </c>
    </row>
    <row r="7" spans="1:12" x14ac:dyDescent="0.25">
      <c r="A7" s="223" t="s">
        <v>1262</v>
      </c>
      <c r="B7" s="223" t="s">
        <v>1266</v>
      </c>
      <c r="C7" t="s">
        <v>1267</v>
      </c>
      <c r="E7" s="223" t="s">
        <v>1283</v>
      </c>
      <c r="F7" s="223" t="s">
        <v>1283</v>
      </c>
      <c r="G7" s="223" t="s">
        <v>1282</v>
      </c>
      <c r="H7" s="223" t="s">
        <v>1288</v>
      </c>
      <c r="I7" s="223" t="s">
        <v>1283</v>
      </c>
      <c r="J7" s="223" t="s">
        <v>1283</v>
      </c>
      <c r="K7" s="223" t="s">
        <v>1288</v>
      </c>
      <c r="L7" s="223" t="s">
        <v>1288</v>
      </c>
    </row>
    <row r="8" spans="1:12" x14ac:dyDescent="0.25">
      <c r="A8" s="1323" t="s">
        <v>1268</v>
      </c>
      <c r="B8" s="1324"/>
      <c r="C8" s="1324"/>
      <c r="E8" s="223"/>
      <c r="F8" s="223"/>
      <c r="G8" s="223"/>
      <c r="H8" s="223"/>
      <c r="I8" s="223"/>
      <c r="J8" s="223"/>
      <c r="K8" s="223"/>
      <c r="L8" s="223"/>
    </row>
    <row r="9" spans="1:12" x14ac:dyDescent="0.25">
      <c r="A9" s="223" t="s">
        <v>1269</v>
      </c>
      <c r="B9" s="223" t="s">
        <v>1270</v>
      </c>
      <c r="C9" t="s">
        <v>1271</v>
      </c>
      <c r="E9" s="223" t="s">
        <v>1282</v>
      </c>
      <c r="F9" s="223" t="s">
        <v>1288</v>
      </c>
      <c r="G9" s="223" t="s">
        <v>1282</v>
      </c>
      <c r="H9" s="223" t="s">
        <v>1288</v>
      </c>
      <c r="I9" s="223" t="s">
        <v>1282</v>
      </c>
      <c r="J9" s="223" t="s">
        <v>1288</v>
      </c>
      <c r="K9" s="223" t="s">
        <v>1282</v>
      </c>
      <c r="L9" s="223" t="s">
        <v>1288</v>
      </c>
    </row>
    <row r="10" spans="1:12" x14ac:dyDescent="0.25">
      <c r="A10" s="223"/>
      <c r="B10" s="223"/>
      <c r="E10" s="223"/>
      <c r="F10" s="223"/>
      <c r="G10" s="223"/>
      <c r="H10" s="223"/>
      <c r="I10" s="223"/>
      <c r="J10" s="223"/>
      <c r="K10" s="223"/>
      <c r="L10" s="223"/>
    </row>
    <row r="11" spans="1:12" x14ac:dyDescent="0.25">
      <c r="A11" s="1325" t="s">
        <v>1290</v>
      </c>
      <c r="B11" s="1326"/>
      <c r="C11" s="1326"/>
      <c r="E11" s="223"/>
      <c r="F11" s="223"/>
      <c r="G11" s="223"/>
      <c r="H11" s="223"/>
      <c r="I11" s="223"/>
      <c r="J11" s="223"/>
      <c r="K11" s="223"/>
      <c r="L11" s="223"/>
    </row>
    <row r="12" spans="1:12" x14ac:dyDescent="0.25">
      <c r="A12" s="1327" t="s">
        <v>1285</v>
      </c>
      <c r="B12" s="1327"/>
      <c r="C12" s="1327"/>
      <c r="E12" s="223">
        <v>3</v>
      </c>
      <c r="F12" s="223">
        <v>3</v>
      </c>
      <c r="G12" s="223">
        <v>3</v>
      </c>
      <c r="H12" s="223">
        <v>3</v>
      </c>
      <c r="I12" s="223">
        <v>0</v>
      </c>
      <c r="J12" s="223">
        <v>0</v>
      </c>
      <c r="K12" s="223">
        <v>0</v>
      </c>
      <c r="L12" s="223">
        <v>0</v>
      </c>
    </row>
    <row r="13" spans="1:12" x14ac:dyDescent="0.25">
      <c r="A13" s="1327" t="s">
        <v>1286</v>
      </c>
      <c r="B13" s="1327"/>
      <c r="C13" s="1327"/>
      <c r="E13" s="223">
        <v>2</v>
      </c>
      <c r="F13" s="223">
        <v>0</v>
      </c>
      <c r="G13" s="223">
        <v>2</v>
      </c>
      <c r="H13" s="223">
        <v>0</v>
      </c>
      <c r="I13" s="223">
        <v>2</v>
      </c>
      <c r="J13" s="223">
        <v>0</v>
      </c>
      <c r="K13" s="223">
        <v>2</v>
      </c>
      <c r="L13" s="223">
        <v>0</v>
      </c>
    </row>
    <row r="14" spans="1:12" ht="15.75" thickBot="1" x14ac:dyDescent="0.3">
      <c r="A14" s="1322" t="s">
        <v>1291</v>
      </c>
      <c r="B14" s="1322"/>
      <c r="C14" s="1322"/>
      <c r="E14" s="224">
        <f>SUM(E12:E13)</f>
        <v>5</v>
      </c>
      <c r="F14" s="224">
        <f t="shared" ref="F14:L14" si="0">SUM(F12:F13)</f>
        <v>3</v>
      </c>
      <c r="G14" s="224">
        <f t="shared" si="0"/>
        <v>5</v>
      </c>
      <c r="H14" s="224">
        <f t="shared" si="0"/>
        <v>3</v>
      </c>
      <c r="I14" s="224">
        <f t="shared" si="0"/>
        <v>2</v>
      </c>
      <c r="J14" s="224">
        <f t="shared" si="0"/>
        <v>0</v>
      </c>
      <c r="K14" s="224">
        <f t="shared" si="0"/>
        <v>2</v>
      </c>
      <c r="L14" s="224">
        <f t="shared" si="0"/>
        <v>0</v>
      </c>
    </row>
    <row r="15" spans="1:12" ht="15.75" thickTop="1" x14ac:dyDescent="0.25">
      <c r="A15" s="223"/>
      <c r="B15" s="223"/>
      <c r="E15" s="223"/>
      <c r="F15" s="223"/>
      <c r="G15" s="223"/>
      <c r="H15" s="223"/>
      <c r="I15" s="223"/>
      <c r="J15" s="223"/>
      <c r="K15" s="223"/>
      <c r="L15" s="223"/>
    </row>
    <row r="16" spans="1:12" x14ac:dyDescent="0.25">
      <c r="A16" s="223"/>
      <c r="B16" s="223"/>
      <c r="E16" s="223"/>
      <c r="F16" s="223"/>
      <c r="G16" s="223"/>
      <c r="H16" s="223"/>
      <c r="I16" s="223"/>
      <c r="J16" s="223"/>
      <c r="K16" s="223"/>
      <c r="L16" s="223"/>
    </row>
    <row r="17" spans="1:12" x14ac:dyDescent="0.25">
      <c r="A17" s="223"/>
      <c r="B17" s="223"/>
      <c r="E17" s="223"/>
      <c r="F17" s="223"/>
      <c r="G17" s="223"/>
      <c r="H17" s="223"/>
      <c r="I17" s="223"/>
      <c r="J17" s="223"/>
      <c r="K17" s="223"/>
      <c r="L17" s="223"/>
    </row>
    <row r="18" spans="1:12" x14ac:dyDescent="0.25">
      <c r="A18" s="223"/>
      <c r="B18" s="223"/>
      <c r="E18" s="223"/>
      <c r="F18" s="223"/>
      <c r="G18" s="223"/>
      <c r="H18" s="223"/>
      <c r="I18" s="223"/>
      <c r="J18" s="223"/>
      <c r="K18" s="223"/>
      <c r="L18" s="223"/>
    </row>
    <row r="19" spans="1:12" x14ac:dyDescent="0.25">
      <c r="A19" s="223"/>
      <c r="B19" s="223"/>
      <c r="E19" s="223"/>
      <c r="F19" s="223"/>
      <c r="G19" s="223"/>
      <c r="H19" s="223"/>
      <c r="I19" s="223"/>
      <c r="J19" s="223"/>
      <c r="K19" s="223"/>
      <c r="L19" s="223"/>
    </row>
    <row r="20" spans="1:12" x14ac:dyDescent="0.25">
      <c r="A20" s="223"/>
      <c r="B20" s="223"/>
    </row>
    <row r="21" spans="1:12" x14ac:dyDescent="0.25">
      <c r="A21" s="223"/>
      <c r="B21" s="223"/>
    </row>
    <row r="22" spans="1:12" x14ac:dyDescent="0.25">
      <c r="A22" s="223"/>
      <c r="B22" s="223"/>
    </row>
    <row r="23" spans="1:12" x14ac:dyDescent="0.25">
      <c r="A23" s="223"/>
      <c r="B23" s="223"/>
    </row>
    <row r="24" spans="1:12" x14ac:dyDescent="0.25">
      <c r="A24" s="223"/>
      <c r="B24" s="223"/>
    </row>
    <row r="25" spans="1:12" x14ac:dyDescent="0.25">
      <c r="A25" s="223"/>
      <c r="B25" s="223"/>
    </row>
    <row r="26" spans="1:12" x14ac:dyDescent="0.25">
      <c r="A26" s="223"/>
      <c r="B26" s="223"/>
    </row>
    <row r="27" spans="1:12" x14ac:dyDescent="0.25">
      <c r="A27" s="223"/>
      <c r="B27" s="223"/>
    </row>
    <row r="28" spans="1:12" x14ac:dyDescent="0.25">
      <c r="A28" s="223"/>
      <c r="B28" s="223"/>
    </row>
    <row r="29" spans="1:12" x14ac:dyDescent="0.25">
      <c r="A29" s="223"/>
      <c r="B29" s="223"/>
    </row>
    <row r="30" spans="1:12" x14ac:dyDescent="0.25">
      <c r="A30" s="223"/>
      <c r="B30" s="223"/>
    </row>
    <row r="31" spans="1:12" x14ac:dyDescent="0.25">
      <c r="A31" s="223"/>
      <c r="B31" s="223"/>
    </row>
    <row r="32" spans="1:12" x14ac:dyDescent="0.25">
      <c r="A32" s="223"/>
      <c r="B32" s="223"/>
    </row>
    <row r="33" spans="1:2" x14ac:dyDescent="0.25">
      <c r="A33" s="223"/>
      <c r="B33" s="223"/>
    </row>
    <row r="34" spans="1:2" x14ac:dyDescent="0.25">
      <c r="A34" s="223"/>
      <c r="B34" s="223"/>
    </row>
    <row r="35" spans="1:2" x14ac:dyDescent="0.25">
      <c r="A35" s="223"/>
      <c r="B35" s="223"/>
    </row>
    <row r="36" spans="1:2" x14ac:dyDescent="0.25">
      <c r="A36" s="223"/>
      <c r="B36" s="223"/>
    </row>
    <row r="37" spans="1:2" x14ac:dyDescent="0.25">
      <c r="A37" s="223"/>
      <c r="B37" s="223"/>
    </row>
    <row r="38" spans="1:2" x14ac:dyDescent="0.25">
      <c r="A38" s="223"/>
      <c r="B38" s="223"/>
    </row>
    <row r="39" spans="1:2" x14ac:dyDescent="0.25">
      <c r="A39" s="223"/>
      <c r="B39" s="223"/>
    </row>
    <row r="40" spans="1:2" x14ac:dyDescent="0.25">
      <c r="A40" s="223"/>
      <c r="B40" s="223"/>
    </row>
    <row r="41" spans="1:2" x14ac:dyDescent="0.25">
      <c r="A41" s="223"/>
      <c r="B41" s="223"/>
    </row>
  </sheetData>
  <sheetProtection algorithmName="SHA-512" hashValue="wZZmEjGPPtCFM4Zx3vCqTOaCTs+ph7aShl+wXQ/hBKs1ryFKzij0HnnCQ+gZPBeM5xmsbpAcTRa0l/i41Cnsaw==" saltValue="lJJJydScksTiM2fCKLaZlQ==" spinCount="100000" sheet="1" objects="1" scenarios="1"/>
  <mergeCells count="6">
    <mergeCell ref="A14:C14"/>
    <mergeCell ref="A5:C5"/>
    <mergeCell ref="A8:C8"/>
    <mergeCell ref="A11:C11"/>
    <mergeCell ref="A12:C12"/>
    <mergeCell ref="A13:C13"/>
  </mergeCells>
  <printOptions horizontalCentered="1" gridLines="1"/>
  <pageMargins left="0.2" right="0.2" top="0.75" bottom="0.75" header="0.3" footer="0.3"/>
  <pageSetup scale="82" orientation="landscape" r:id="rId1"/>
  <headerFooter>
    <oddHeader>&amp;L&amp;F&amp;R&amp;A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E61"/>
  <sheetViews>
    <sheetView zoomScale="135" zoomScaleNormal="135" workbookViewId="0">
      <selection activeCell="H156" sqref="H156"/>
    </sheetView>
  </sheetViews>
  <sheetFormatPr defaultColWidth="8.85546875" defaultRowHeight="15" x14ac:dyDescent="0.25"/>
  <cols>
    <col min="1" max="1" width="14" customWidth="1"/>
    <col min="2" max="2" width="27.5703125" customWidth="1"/>
    <col min="3" max="3" width="15.85546875" customWidth="1"/>
    <col min="4" max="4" width="30" customWidth="1"/>
  </cols>
  <sheetData>
    <row r="1" spans="1:5" ht="14.45" customHeight="1" x14ac:dyDescent="0.25">
      <c r="A1" s="1336"/>
      <c r="B1" s="1336"/>
      <c r="C1" s="1338">
        <f>VersionNo.</f>
        <v>2024.08</v>
      </c>
      <c r="D1" s="1337" t="s">
        <v>1220</v>
      </c>
      <c r="E1" s="732"/>
    </row>
    <row r="2" spans="1:5" ht="14.45" customHeight="1" x14ac:dyDescent="0.25">
      <c r="A2" s="1336"/>
      <c r="B2" s="1336"/>
      <c r="C2" s="1338"/>
      <c r="D2" s="732"/>
      <c r="E2" s="732"/>
    </row>
    <row r="3" spans="1:5" ht="14.45" customHeight="1" x14ac:dyDescent="0.25">
      <c r="A3" s="1336"/>
      <c r="B3" s="1336"/>
      <c r="C3" s="1338"/>
      <c r="D3" s="732"/>
      <c r="E3" s="732"/>
    </row>
    <row r="4" spans="1:5" ht="14.45" customHeight="1" x14ac:dyDescent="0.25">
      <c r="A4" s="1336"/>
      <c r="B4" s="1336"/>
      <c r="C4" s="1338"/>
      <c r="D4" s="732"/>
      <c r="E4" s="732"/>
    </row>
    <row r="5" spans="1:5" x14ac:dyDescent="0.25">
      <c r="A5" s="1336"/>
      <c r="B5" s="1336"/>
      <c r="C5" s="1338"/>
      <c r="D5" s="732"/>
      <c r="E5" s="732"/>
    </row>
    <row r="6" spans="1:5" x14ac:dyDescent="0.25">
      <c r="A6" s="292" t="s">
        <v>1073</v>
      </c>
      <c r="B6" s="253"/>
      <c r="C6" s="292" t="s">
        <v>1074</v>
      </c>
      <c r="D6" s="1344"/>
      <c r="E6" s="1344"/>
    </row>
    <row r="7" spans="1:5" x14ac:dyDescent="0.25">
      <c r="A7" s="292" t="s">
        <v>1075</v>
      </c>
      <c r="B7" s="1132"/>
      <c r="C7" s="1187"/>
      <c r="D7" s="1187"/>
      <c r="E7" s="1187"/>
    </row>
    <row r="8" spans="1:5" ht="30.75" customHeight="1" x14ac:dyDescent="0.25">
      <c r="A8" s="1190" t="s">
        <v>1076</v>
      </c>
      <c r="B8" s="1190"/>
      <c r="C8" s="1132"/>
      <c r="D8" s="1132"/>
      <c r="E8" s="1132"/>
    </row>
    <row r="9" spans="1:5" x14ac:dyDescent="0.25">
      <c r="A9" s="1339" t="s">
        <v>1077</v>
      </c>
      <c r="B9" s="1339"/>
      <c r="C9" s="1132"/>
      <c r="D9" s="1132"/>
      <c r="E9" s="1132"/>
    </row>
    <row r="10" spans="1:5" ht="29.45" customHeight="1" x14ac:dyDescent="0.25">
      <c r="A10" s="615" t="s">
        <v>1229</v>
      </c>
      <c r="B10" s="615"/>
      <c r="C10" s="615"/>
      <c r="D10" s="615"/>
      <c r="E10" s="293"/>
    </row>
    <row r="11" spans="1:5" ht="15.75" x14ac:dyDescent="0.25">
      <c r="A11" s="1331" t="s">
        <v>1078</v>
      </c>
      <c r="B11" s="1331"/>
      <c r="C11" s="1331"/>
      <c r="D11" s="1331"/>
      <c r="E11" s="1331"/>
    </row>
    <row r="12" spans="1:5" ht="30" x14ac:dyDescent="0.25">
      <c r="A12" s="96" t="s">
        <v>1079</v>
      </c>
      <c r="B12" s="253"/>
      <c r="C12" s="96" t="s">
        <v>1228</v>
      </c>
      <c r="D12" s="1328"/>
      <c r="E12" s="1328"/>
    </row>
    <row r="13" spans="1:5" ht="30" x14ac:dyDescent="0.25">
      <c r="A13" s="96" t="s">
        <v>1080</v>
      </c>
      <c r="B13" s="253"/>
      <c r="C13" s="96" t="s">
        <v>1081</v>
      </c>
      <c r="D13" s="1328"/>
      <c r="E13" s="1328"/>
    </row>
    <row r="14" spans="1:5" ht="30" customHeight="1" x14ac:dyDescent="0.25">
      <c r="A14" s="304" t="s">
        <v>1082</v>
      </c>
      <c r="B14" s="253"/>
      <c r="C14" s="96" t="s">
        <v>1083</v>
      </c>
      <c r="D14" s="1328"/>
      <c r="E14" s="1328"/>
    </row>
    <row r="15" spans="1:5" ht="16.5" customHeight="1" x14ac:dyDescent="0.25">
      <c r="A15" s="1343" t="s">
        <v>1084</v>
      </c>
      <c r="B15" s="1343"/>
      <c r="C15" s="1343"/>
      <c r="D15" s="1343"/>
      <c r="E15" s="1343"/>
    </row>
    <row r="16" spans="1:5" ht="15.75" customHeight="1" x14ac:dyDescent="0.25">
      <c r="A16" s="1330" t="s">
        <v>1085</v>
      </c>
      <c r="B16" s="1330"/>
      <c r="C16" s="305" t="s">
        <v>1086</v>
      </c>
      <c r="D16" s="1328"/>
      <c r="E16" s="1328"/>
    </row>
    <row r="17" spans="1:5" ht="15.75" x14ac:dyDescent="0.25">
      <c r="A17" s="1331" t="s">
        <v>1087</v>
      </c>
      <c r="B17" s="1331"/>
      <c r="C17" s="1331"/>
      <c r="D17" s="1331"/>
      <c r="E17" s="1331"/>
    </row>
    <row r="18" spans="1:5" x14ac:dyDescent="0.25">
      <c r="A18" s="1345" t="s">
        <v>1088</v>
      </c>
      <c r="B18" s="444"/>
      <c r="C18" s="444"/>
      <c r="D18" s="444"/>
      <c r="E18" s="306" t="s">
        <v>1089</v>
      </c>
    </row>
    <row r="19" spans="1:5" x14ac:dyDescent="0.25">
      <c r="A19" s="292" t="s">
        <v>1090</v>
      </c>
      <c r="B19" s="253"/>
      <c r="C19" s="96" t="s">
        <v>1091</v>
      </c>
      <c r="D19" s="292"/>
      <c r="E19" s="1341"/>
    </row>
    <row r="20" spans="1:5" x14ac:dyDescent="0.25">
      <c r="A20" s="292" t="s">
        <v>1088</v>
      </c>
      <c r="B20" s="1132"/>
      <c r="C20" s="1132"/>
      <c r="D20" s="1132"/>
      <c r="E20" s="1342"/>
    </row>
    <row r="21" spans="1:5" x14ac:dyDescent="0.25">
      <c r="A21" s="292" t="s">
        <v>1090</v>
      </c>
      <c r="B21" s="253"/>
      <c r="C21" s="96" t="s">
        <v>1091</v>
      </c>
      <c r="D21" s="292"/>
      <c r="E21" s="1341"/>
    </row>
    <row r="22" spans="1:5" x14ac:dyDescent="0.25">
      <c r="A22" s="292" t="s">
        <v>1088</v>
      </c>
      <c r="B22" s="1132"/>
      <c r="C22" s="1132"/>
      <c r="D22" s="1132"/>
      <c r="E22" s="1342"/>
    </row>
    <row r="23" spans="1:5" x14ac:dyDescent="0.25">
      <c r="A23" s="292" t="s">
        <v>1090</v>
      </c>
      <c r="B23" s="253"/>
      <c r="C23" s="96" t="s">
        <v>1091</v>
      </c>
      <c r="D23" s="292"/>
      <c r="E23" s="1341"/>
    </row>
    <row r="24" spans="1:5" x14ac:dyDescent="0.25">
      <c r="A24" s="292" t="s">
        <v>1088</v>
      </c>
      <c r="B24" s="1132"/>
      <c r="C24" s="1132"/>
      <c r="D24" s="1132"/>
      <c r="E24" s="1342"/>
    </row>
    <row r="25" spans="1:5" x14ac:dyDescent="0.25">
      <c r="A25" s="292" t="s">
        <v>1090</v>
      </c>
      <c r="B25" s="253"/>
      <c r="C25" s="96" t="s">
        <v>1091</v>
      </c>
      <c r="D25" s="292"/>
      <c r="E25" s="293"/>
    </row>
    <row r="26" spans="1:5" x14ac:dyDescent="0.25">
      <c r="A26" s="292" t="s">
        <v>1088</v>
      </c>
      <c r="B26" s="1132"/>
      <c r="C26" s="1132"/>
      <c r="D26" s="1132"/>
      <c r="E26" s="1341"/>
    </row>
    <row r="27" spans="1:5" x14ac:dyDescent="0.25">
      <c r="A27" s="292" t="s">
        <v>1090</v>
      </c>
      <c r="B27" s="253"/>
      <c r="C27" s="96" t="s">
        <v>1091</v>
      </c>
      <c r="D27" s="292"/>
      <c r="E27" s="1342"/>
    </row>
    <row r="28" spans="1:5" x14ac:dyDescent="0.25">
      <c r="A28" s="1345" t="s">
        <v>1092</v>
      </c>
      <c r="B28" s="444"/>
      <c r="C28" s="444"/>
      <c r="D28" s="444"/>
      <c r="E28" s="306" t="s">
        <v>1089</v>
      </c>
    </row>
    <row r="29" spans="1:5" x14ac:dyDescent="0.25">
      <c r="A29" s="292" t="s">
        <v>1090</v>
      </c>
      <c r="B29" s="253"/>
      <c r="C29" s="292" t="s">
        <v>1093</v>
      </c>
      <c r="D29" s="292"/>
      <c r="E29" s="1341"/>
    </row>
    <row r="30" spans="1:5" x14ac:dyDescent="0.25">
      <c r="A30" s="292" t="s">
        <v>1092</v>
      </c>
      <c r="B30" s="1132"/>
      <c r="C30" s="1132"/>
      <c r="D30" s="1132"/>
      <c r="E30" s="1342"/>
    </row>
    <row r="31" spans="1:5" x14ac:dyDescent="0.25">
      <c r="A31" s="292" t="s">
        <v>1090</v>
      </c>
      <c r="B31" s="253"/>
      <c r="C31" s="292" t="s">
        <v>1093</v>
      </c>
      <c r="D31" s="292"/>
      <c r="E31" s="1341"/>
    </row>
    <row r="32" spans="1:5" x14ac:dyDescent="0.25">
      <c r="A32" s="292" t="s">
        <v>1092</v>
      </c>
      <c r="B32" s="1132"/>
      <c r="C32" s="1132"/>
      <c r="D32" s="1132"/>
      <c r="E32" s="1342"/>
    </row>
    <row r="33" spans="1:5" x14ac:dyDescent="0.25">
      <c r="A33" s="292" t="s">
        <v>1090</v>
      </c>
      <c r="B33" s="253"/>
      <c r="C33" s="292" t="s">
        <v>1093</v>
      </c>
      <c r="D33" s="292"/>
      <c r="E33" s="1341"/>
    </row>
    <row r="34" spans="1:5" x14ac:dyDescent="0.25">
      <c r="A34" s="292" t="s">
        <v>1092</v>
      </c>
      <c r="B34" s="1132"/>
      <c r="C34" s="1132"/>
      <c r="D34" s="1132"/>
      <c r="E34" s="1342"/>
    </row>
    <row r="35" spans="1:5" x14ac:dyDescent="0.25">
      <c r="A35" s="292" t="s">
        <v>1090</v>
      </c>
      <c r="B35" s="253"/>
      <c r="C35" s="292" t="s">
        <v>1093</v>
      </c>
      <c r="D35" s="292"/>
      <c r="E35" s="1341"/>
    </row>
    <row r="36" spans="1:5" x14ac:dyDescent="0.25">
      <c r="A36" s="292" t="s">
        <v>1092</v>
      </c>
      <c r="B36" s="1132"/>
      <c r="C36" s="1132"/>
      <c r="D36" s="1132"/>
      <c r="E36" s="1342"/>
    </row>
    <row r="37" spans="1:5" x14ac:dyDescent="0.25">
      <c r="A37" s="292" t="s">
        <v>1090</v>
      </c>
      <c r="B37" s="253"/>
      <c r="C37" s="292" t="s">
        <v>1093</v>
      </c>
      <c r="D37" s="292"/>
      <c r="E37" s="1341"/>
    </row>
    <row r="38" spans="1:5" x14ac:dyDescent="0.25">
      <c r="A38" s="292" t="s">
        <v>1092</v>
      </c>
      <c r="B38" s="1132"/>
      <c r="C38" s="1132"/>
      <c r="D38" s="1132"/>
      <c r="E38" s="1342"/>
    </row>
    <row r="39" spans="1:5" x14ac:dyDescent="0.25">
      <c r="A39" s="292" t="s">
        <v>1090</v>
      </c>
      <c r="B39" s="253"/>
      <c r="C39" s="292" t="s">
        <v>1093</v>
      </c>
      <c r="D39" s="292"/>
      <c r="E39" s="1341"/>
    </row>
    <row r="40" spans="1:5" x14ac:dyDescent="0.25">
      <c r="A40" s="292" t="s">
        <v>1092</v>
      </c>
      <c r="B40" s="1132"/>
      <c r="C40" s="1132"/>
      <c r="D40" s="1132"/>
      <c r="E40" s="1342"/>
    </row>
    <row r="41" spans="1:5" x14ac:dyDescent="0.25">
      <c r="A41" s="292" t="s">
        <v>1090</v>
      </c>
      <c r="B41" s="253"/>
      <c r="C41" s="292" t="s">
        <v>1093</v>
      </c>
      <c r="D41" s="292"/>
      <c r="E41" s="1341"/>
    </row>
    <row r="42" spans="1:5" x14ac:dyDescent="0.25">
      <c r="A42" s="292" t="s">
        <v>1092</v>
      </c>
      <c r="B42" s="1132"/>
      <c r="C42" s="1132"/>
      <c r="D42" s="1132"/>
      <c r="E42" s="1342"/>
    </row>
    <row r="43" spans="1:5" ht="14.25" customHeight="1" x14ac:dyDescent="0.25">
      <c r="A43" s="292" t="s">
        <v>1090</v>
      </c>
      <c r="B43" s="253"/>
      <c r="C43" s="292" t="s">
        <v>1093</v>
      </c>
      <c r="D43" s="292"/>
      <c r="E43" s="1341"/>
    </row>
    <row r="44" spans="1:5" ht="15.75" customHeight="1" x14ac:dyDescent="0.25">
      <c r="A44" s="292" t="s">
        <v>1092</v>
      </c>
      <c r="B44" s="1132"/>
      <c r="C44" s="1132"/>
      <c r="D44" s="1132"/>
      <c r="E44" s="1342"/>
    </row>
    <row r="45" spans="1:5" x14ac:dyDescent="0.25">
      <c r="A45" s="292" t="s">
        <v>1090</v>
      </c>
      <c r="B45" s="253"/>
      <c r="C45" s="292" t="s">
        <v>1093</v>
      </c>
      <c r="D45" s="292"/>
      <c r="E45" s="1341"/>
    </row>
    <row r="46" spans="1:5" ht="15.75" x14ac:dyDescent="0.25">
      <c r="A46" s="1332" t="s">
        <v>1094</v>
      </c>
      <c r="B46" s="1332"/>
      <c r="C46" s="1332"/>
      <c r="D46" s="1332"/>
      <c r="E46" s="1342"/>
    </row>
    <row r="47" spans="1:5" x14ac:dyDescent="0.25">
      <c r="A47" s="1339" t="s">
        <v>1095</v>
      </c>
      <c r="B47" s="1339"/>
      <c r="C47" s="1340"/>
      <c r="D47" s="1340"/>
      <c r="E47" s="1340"/>
    </row>
    <row r="48" spans="1:5" x14ac:dyDescent="0.25">
      <c r="A48" s="292" t="s">
        <v>1096</v>
      </c>
      <c r="B48" s="292"/>
      <c r="C48" s="1329"/>
      <c r="D48" s="1329"/>
      <c r="E48" s="1329"/>
    </row>
    <row r="49" spans="1:5" x14ac:dyDescent="0.25">
      <c r="A49" s="1333" t="s">
        <v>1097</v>
      </c>
      <c r="B49" s="1334" t="s">
        <v>1207</v>
      </c>
      <c r="C49" s="1334"/>
      <c r="D49" s="1334"/>
      <c r="E49" s="293"/>
    </row>
    <row r="50" spans="1:5" x14ac:dyDescent="0.25">
      <c r="A50" s="1333"/>
      <c r="B50" s="1334" t="s">
        <v>1208</v>
      </c>
      <c r="C50" s="1334"/>
      <c r="D50" s="1334"/>
      <c r="E50" s="293"/>
    </row>
    <row r="51" spans="1:5" x14ac:dyDescent="0.25">
      <c r="A51" s="1333"/>
      <c r="B51" s="1334" t="s">
        <v>1209</v>
      </c>
      <c r="C51" s="1334"/>
      <c r="D51" s="1334"/>
      <c r="E51" s="293"/>
    </row>
    <row r="52" spans="1:5" x14ac:dyDescent="0.25">
      <c r="A52" s="1333"/>
      <c r="B52" s="1335" t="s">
        <v>1210</v>
      </c>
      <c r="C52" s="1335"/>
      <c r="D52" s="1335"/>
      <c r="E52" s="293"/>
    </row>
    <row r="53" spans="1:5" x14ac:dyDescent="0.25">
      <c r="A53" s="1333"/>
      <c r="B53" s="1335" t="s">
        <v>1211</v>
      </c>
      <c r="C53" s="1335"/>
      <c r="D53" s="1335"/>
      <c r="E53" s="293"/>
    </row>
    <row r="54" spans="1:5" x14ac:dyDescent="0.25">
      <c r="A54" s="1333"/>
      <c r="B54" s="1335" t="s">
        <v>1212</v>
      </c>
      <c r="C54" s="1335"/>
      <c r="D54" s="1335"/>
      <c r="E54" s="293"/>
    </row>
    <row r="60" spans="1:5" x14ac:dyDescent="0.25">
      <c r="B60" s="442"/>
      <c r="C60" s="442"/>
    </row>
    <row r="61" spans="1:5" x14ac:dyDescent="0.25">
      <c r="B61" s="442"/>
      <c r="C61" s="442"/>
    </row>
  </sheetData>
  <sheetProtection algorithmName="SHA-512" hashValue="ZjpnOC8/9yHCaiqyQsQV+Lnt+tINiJTNUGmxQD/WQaDWsCxSKkQLbJmJw5GDCrSgSoocUAthCxMhOo6zF1GcqQ==" saltValue="fAyW8ilmAgTwao6B4kOZow==" spinCount="100000" sheet="1" objects="1" scenarios="1" formatRows="0" selectLockedCells="1"/>
  <mergeCells count="57">
    <mergeCell ref="A18:D18"/>
    <mergeCell ref="A28:D28"/>
    <mergeCell ref="B42:D42"/>
    <mergeCell ref="B44:D44"/>
    <mergeCell ref="E19:E20"/>
    <mergeCell ref="E21:E22"/>
    <mergeCell ref="E23:E24"/>
    <mergeCell ref="E26:E27"/>
    <mergeCell ref="E29:E30"/>
    <mergeCell ref="E31:E32"/>
    <mergeCell ref="E33:E34"/>
    <mergeCell ref="E35:E36"/>
    <mergeCell ref="E37:E38"/>
    <mergeCell ref="E39:E40"/>
    <mergeCell ref="E41:E42"/>
    <mergeCell ref="E43:E44"/>
    <mergeCell ref="A1:B5"/>
    <mergeCell ref="D1:E5"/>
    <mergeCell ref="C1:C5"/>
    <mergeCell ref="B7:E7"/>
    <mergeCell ref="A47:B47"/>
    <mergeCell ref="C47:E47"/>
    <mergeCell ref="E45:E46"/>
    <mergeCell ref="A15:E15"/>
    <mergeCell ref="D6:E6"/>
    <mergeCell ref="A8:B8"/>
    <mergeCell ref="C8:E8"/>
    <mergeCell ref="A9:B9"/>
    <mergeCell ref="C9:E9"/>
    <mergeCell ref="A11:E11"/>
    <mergeCell ref="D12:E12"/>
    <mergeCell ref="D13:E13"/>
    <mergeCell ref="B40:D40"/>
    <mergeCell ref="B60:C61"/>
    <mergeCell ref="A49:A54"/>
    <mergeCell ref="B49:D49"/>
    <mergeCell ref="B50:D50"/>
    <mergeCell ref="B51:D51"/>
    <mergeCell ref="B52:D52"/>
    <mergeCell ref="B53:D53"/>
    <mergeCell ref="B54:D54"/>
    <mergeCell ref="D14:E14"/>
    <mergeCell ref="A10:D10"/>
    <mergeCell ref="C48:E48"/>
    <mergeCell ref="A16:B16"/>
    <mergeCell ref="A17:E17"/>
    <mergeCell ref="B20:D20"/>
    <mergeCell ref="B22:D22"/>
    <mergeCell ref="B24:D24"/>
    <mergeCell ref="B26:D26"/>
    <mergeCell ref="A46:D46"/>
    <mergeCell ref="D16:E16"/>
    <mergeCell ref="B30:D30"/>
    <mergeCell ref="B32:D32"/>
    <mergeCell ref="B34:D34"/>
    <mergeCell ref="B36:D36"/>
    <mergeCell ref="B38:D38"/>
  </mergeCells>
  <dataValidations count="1">
    <dataValidation type="list" allowBlank="1" showInputMessage="1" showErrorMessage="1" sqref="E10 E19 E25:E26 E49:E54 E21 E23 E43 E29 E31 E33 E35 E37 E39 E41 E45" xr:uid="{00000000-0002-0000-0500-000000000000}">
      <formula1>YesOrNo</formula1>
    </dataValidation>
  </dataValidations>
  <printOptions horizontalCentered="1"/>
  <pageMargins left="0.5" right="0.5" top="0.75" bottom="0.75" header="0.3" footer="0.3"/>
  <pageSetup scale="99" fitToHeight="2" orientation="portrait" r:id="rId1"/>
  <headerFooter>
    <oddHeader>&amp;L&amp;F&amp;R&amp;A</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M96"/>
  <sheetViews>
    <sheetView zoomScale="90" zoomScaleNormal="90" workbookViewId="0">
      <selection activeCell="H156" sqref="H156"/>
    </sheetView>
  </sheetViews>
  <sheetFormatPr defaultColWidth="8.7109375" defaultRowHeight="15" x14ac:dyDescent="0.25"/>
  <cols>
    <col min="1" max="1" width="12" customWidth="1"/>
    <col min="2" max="2" width="23.5703125" customWidth="1"/>
    <col min="3" max="3" width="10.42578125" customWidth="1"/>
    <col min="13" max="13" width="31.28515625" customWidth="1"/>
  </cols>
  <sheetData>
    <row r="1" spans="1:13" ht="14.65" customHeight="1" x14ac:dyDescent="0.25">
      <c r="A1" s="1496"/>
      <c r="B1" s="1497"/>
      <c r="C1" s="1497"/>
      <c r="D1" s="1497"/>
      <c r="E1" s="1499"/>
      <c r="F1" s="1499"/>
      <c r="G1" s="1499"/>
      <c r="H1" s="1501"/>
      <c r="I1" s="1501"/>
      <c r="J1" s="1502">
        <f>VersionNo.</f>
        <v>2024.08</v>
      </c>
      <c r="K1" s="1502"/>
      <c r="L1" s="1504" t="s">
        <v>442</v>
      </c>
      <c r="M1" s="1505"/>
    </row>
    <row r="2" spans="1:13" x14ac:dyDescent="0.25">
      <c r="A2" s="1498"/>
      <c r="B2" s="706"/>
      <c r="C2" s="706"/>
      <c r="D2" s="706"/>
      <c r="E2" s="1500"/>
      <c r="F2" s="1500"/>
      <c r="G2" s="1500"/>
      <c r="H2" s="491"/>
      <c r="I2" s="491"/>
      <c r="J2" s="1503"/>
      <c r="K2" s="1503"/>
      <c r="L2" s="1441"/>
      <c r="M2" s="1506"/>
    </row>
    <row r="3" spans="1:13" x14ac:dyDescent="0.25">
      <c r="A3" s="1498"/>
      <c r="B3" s="706"/>
      <c r="C3" s="706"/>
      <c r="D3" s="706"/>
      <c r="E3" s="1500"/>
      <c r="F3" s="1500"/>
      <c r="G3" s="1500"/>
      <c r="H3" s="491"/>
      <c r="I3" s="491"/>
      <c r="J3" s="1503"/>
      <c r="K3" s="1503"/>
      <c r="L3" s="1441"/>
      <c r="M3" s="1506"/>
    </row>
    <row r="4" spans="1:13" x14ac:dyDescent="0.25">
      <c r="A4" s="1498"/>
      <c r="B4" s="706"/>
      <c r="C4" s="706"/>
      <c r="D4" s="706"/>
      <c r="E4" s="1500"/>
      <c r="F4" s="1500"/>
      <c r="G4" s="1500"/>
      <c r="H4" s="491"/>
      <c r="I4" s="491"/>
      <c r="J4" s="1503"/>
      <c r="K4" s="1503"/>
      <c r="L4" s="1441"/>
      <c r="M4" s="1506"/>
    </row>
    <row r="5" spans="1:13" ht="15.75" thickBot="1" x14ac:dyDescent="0.3">
      <c r="A5" s="1498"/>
      <c r="B5" s="706"/>
      <c r="C5" s="706"/>
      <c r="D5" s="706"/>
      <c r="E5" s="1500"/>
      <c r="F5" s="1500"/>
      <c r="G5" s="1500"/>
      <c r="H5" s="491"/>
      <c r="I5" s="491"/>
      <c r="J5" s="1503"/>
      <c r="K5" s="1503"/>
      <c r="L5" s="1441"/>
      <c r="M5" s="1506"/>
    </row>
    <row r="6" spans="1:13" ht="14.65" customHeight="1" thickTop="1" thickBot="1" x14ac:dyDescent="0.3">
      <c r="A6" s="1522" t="s">
        <v>443</v>
      </c>
      <c r="B6" s="1523"/>
      <c r="C6" s="1523"/>
      <c r="D6" s="1523"/>
      <c r="E6" s="1523"/>
      <c r="F6" s="1523"/>
      <c r="G6" s="1523"/>
      <c r="H6" s="1523"/>
      <c r="I6" s="1523"/>
      <c r="J6" s="1523"/>
      <c r="K6" s="1523"/>
      <c r="L6" s="1523"/>
      <c r="M6" s="1524"/>
    </row>
    <row r="7" spans="1:13" ht="14.65" customHeight="1" x14ac:dyDescent="0.25">
      <c r="A7" s="1525" t="s">
        <v>91</v>
      </c>
      <c r="B7" s="1526"/>
      <c r="C7" s="1527" t="str">
        <f>IF('3 Project Information'!E7="","",'3 Project Information'!E7)</f>
        <v/>
      </c>
      <c r="D7" s="1527"/>
      <c r="E7" s="1527"/>
      <c r="F7" s="1527"/>
      <c r="G7" s="1528"/>
      <c r="H7" s="1529" t="s">
        <v>444</v>
      </c>
      <c r="I7" s="1530"/>
      <c r="J7" s="1530"/>
      <c r="K7" s="1531" t="str">
        <f>IF('3 Project Information'!E26="","",'3 Project Information'!E26)</f>
        <v/>
      </c>
      <c r="L7" s="1532"/>
      <c r="M7" s="1533"/>
    </row>
    <row r="8" spans="1:13" ht="14.65" customHeight="1" x14ac:dyDescent="0.25">
      <c r="A8" s="1534"/>
      <c r="B8" s="1535"/>
      <c r="C8" s="1538" t="str">
        <f>IF('3 Project Information'!E8="","",'3 Project Information'!E8)</f>
        <v/>
      </c>
      <c r="D8" s="1538"/>
      <c r="E8" s="1538"/>
      <c r="F8" s="1538"/>
      <c r="G8" s="1539"/>
      <c r="H8" s="1507" t="s">
        <v>445</v>
      </c>
      <c r="I8" s="1508"/>
      <c r="J8" s="1508"/>
      <c r="K8" s="1033" t="str">
        <f>IF('3 Project Information'!E25="","",'3 Project Information'!E25)</f>
        <v/>
      </c>
      <c r="L8" s="1034"/>
      <c r="M8" s="1474"/>
    </row>
    <row r="9" spans="1:13" ht="14.65" customHeight="1" x14ac:dyDescent="0.25">
      <c r="A9" s="1536"/>
      <c r="B9" s="1537"/>
      <c r="C9" s="1475" t="str">
        <f>IF('3 Project Information'!E9="","",'3 Project Information'!E9)</f>
        <v/>
      </c>
      <c r="D9" s="1475"/>
      <c r="E9" s="1475"/>
      <c r="F9" s="1475"/>
      <c r="G9" s="1476"/>
      <c r="H9" s="1507" t="s">
        <v>446</v>
      </c>
      <c r="I9" s="1508"/>
      <c r="J9" s="1508"/>
      <c r="K9" s="1509" t="str">
        <f>IF('3 Project Information'!E28="","",'3 Project Information'!E28)</f>
        <v/>
      </c>
      <c r="L9" s="1510"/>
      <c r="M9" s="1511"/>
    </row>
    <row r="10" spans="1:13" ht="14.65" customHeight="1" thickBot="1" x14ac:dyDescent="0.3">
      <c r="A10" s="1512" t="s">
        <v>447</v>
      </c>
      <c r="B10" s="1513"/>
      <c r="C10" s="1514" t="str">
        <f>IF('3 Project Information'!E18="","",'3 Project Information'!E18)</f>
        <v/>
      </c>
      <c r="D10" s="1515"/>
      <c r="E10" s="1515"/>
      <c r="F10" s="1515"/>
      <c r="G10" s="1516"/>
      <c r="H10" s="1517" t="s">
        <v>448</v>
      </c>
      <c r="I10" s="1518"/>
      <c r="J10" s="1518"/>
      <c r="K10" s="1519"/>
      <c r="L10" s="1520"/>
      <c r="M10" s="1521"/>
    </row>
    <row r="11" spans="1:13" ht="65.099999999999994" customHeight="1" x14ac:dyDescent="0.25">
      <c r="A11" s="1486" t="s">
        <v>1362</v>
      </c>
      <c r="B11" s="1487"/>
      <c r="C11" s="1487"/>
      <c r="D11" s="1487"/>
      <c r="E11" s="1487"/>
      <c r="F11" s="1487"/>
      <c r="G11" s="1488" t="s">
        <v>1072</v>
      </c>
      <c r="H11" s="1489"/>
      <c r="I11" s="11"/>
      <c r="J11" s="1490" t="str">
        <f>IF(I11="Yes","This sheet is not required for BGNM certification because the project was certified using the EPA WaterSense program or WERS program.  Verifier must submit copy of the applicable certification.","")</f>
        <v/>
      </c>
      <c r="K11" s="1491"/>
      <c r="L11" s="1491"/>
      <c r="M11" s="1492"/>
    </row>
    <row r="12" spans="1:13" ht="12" customHeight="1" x14ac:dyDescent="0.25">
      <c r="A12" s="1354" t="s">
        <v>449</v>
      </c>
      <c r="B12" s="1355"/>
      <c r="C12" s="1355"/>
      <c r="D12" s="1355"/>
      <c r="E12" s="1355"/>
      <c r="F12" s="1355"/>
      <c r="G12" s="1355"/>
      <c r="H12" s="1355"/>
      <c r="I12" s="1355"/>
      <c r="J12" s="1355"/>
      <c r="K12" s="1355"/>
      <c r="L12" s="1355"/>
      <c r="M12" s="1356"/>
    </row>
    <row r="13" spans="1:13" ht="58.5" customHeight="1" x14ac:dyDescent="0.25">
      <c r="A13" s="1401" t="s">
        <v>450</v>
      </c>
      <c r="B13" s="1402"/>
      <c r="C13" s="1402"/>
      <c r="D13" s="1402"/>
      <c r="E13" s="1402"/>
      <c r="F13" s="1402"/>
      <c r="G13" s="1402"/>
      <c r="H13" s="1402"/>
      <c r="I13" s="1402"/>
      <c r="J13" s="1402"/>
      <c r="K13" s="1402"/>
      <c r="L13" s="1402"/>
      <c r="M13" s="1403"/>
    </row>
    <row r="14" spans="1:13" ht="29.65" customHeight="1" x14ac:dyDescent="0.25">
      <c r="A14" s="1477" t="s">
        <v>451</v>
      </c>
      <c r="B14" s="1478"/>
      <c r="C14" s="1481"/>
      <c r="D14" s="710" t="s">
        <v>452</v>
      </c>
      <c r="E14" s="710"/>
      <c r="F14" s="710"/>
      <c r="G14" s="1421"/>
      <c r="H14" s="1421"/>
      <c r="I14" s="1421"/>
      <c r="J14" s="1421"/>
      <c r="K14" s="1483" t="s">
        <v>453</v>
      </c>
      <c r="L14" s="1483"/>
      <c r="M14" s="53"/>
    </row>
    <row r="15" spans="1:13" ht="29.65" customHeight="1" x14ac:dyDescent="0.25">
      <c r="A15" s="1479"/>
      <c r="B15" s="1480"/>
      <c r="C15" s="1482"/>
      <c r="D15" s="1484" t="s">
        <v>454</v>
      </c>
      <c r="E15" s="713"/>
      <c r="F15" s="713"/>
      <c r="G15" s="713"/>
      <c r="H15" s="713"/>
      <c r="I15" s="713"/>
      <c r="J15" s="758"/>
      <c r="K15" s="1485"/>
      <c r="L15" s="1350"/>
      <c r="M15" s="1351"/>
    </row>
    <row r="16" spans="1:13" ht="6" customHeight="1" x14ac:dyDescent="0.25">
      <c r="A16" s="1352"/>
      <c r="B16" s="450"/>
      <c r="C16" s="450"/>
      <c r="D16" s="450"/>
      <c r="E16" s="450"/>
      <c r="F16" s="450"/>
      <c r="G16" s="450"/>
      <c r="H16" s="450"/>
      <c r="I16" s="450"/>
      <c r="J16" s="450"/>
      <c r="K16" s="450"/>
      <c r="L16" s="450"/>
      <c r="M16" s="1353"/>
    </row>
    <row r="17" spans="1:13" ht="14.85" customHeight="1" x14ac:dyDescent="0.25">
      <c r="A17" s="1354" t="s">
        <v>455</v>
      </c>
      <c r="B17" s="1355"/>
      <c r="C17" s="1355"/>
      <c r="D17" s="1355"/>
      <c r="E17" s="1355"/>
      <c r="F17" s="1355"/>
      <c r="G17" s="1355"/>
      <c r="H17" s="1355"/>
      <c r="I17" s="1355"/>
      <c r="J17" s="1355"/>
      <c r="K17" s="1355"/>
      <c r="L17" s="1355"/>
      <c r="M17" s="1356"/>
    </row>
    <row r="18" spans="1:13" ht="14.85" customHeight="1" x14ac:dyDescent="0.25">
      <c r="A18" s="307">
        <f>MAX(J24,J32,J33,J34,J35,J36)</f>
        <v>0</v>
      </c>
      <c r="B18" s="451" t="s">
        <v>456</v>
      </c>
      <c r="C18" s="450"/>
      <c r="D18" s="450"/>
      <c r="E18" s="450"/>
      <c r="F18" s="450"/>
      <c r="G18" s="450"/>
      <c r="H18" s="450"/>
      <c r="I18" s="450"/>
      <c r="J18" s="450"/>
      <c r="K18" s="450"/>
      <c r="L18" s="450"/>
      <c r="M18" s="1353"/>
    </row>
    <row r="19" spans="1:13" ht="6" customHeight="1" x14ac:dyDescent="0.25">
      <c r="A19" s="1352"/>
      <c r="B19" s="450"/>
      <c r="C19" s="450"/>
      <c r="D19" s="450"/>
      <c r="E19" s="450"/>
      <c r="F19" s="450"/>
      <c r="G19" s="450"/>
      <c r="H19" s="450"/>
      <c r="I19" s="450"/>
      <c r="J19" s="450"/>
      <c r="K19" s="450"/>
      <c r="L19" s="450"/>
      <c r="M19" s="1353"/>
    </row>
    <row r="20" spans="1:13" ht="14.65" customHeight="1" x14ac:dyDescent="0.25">
      <c r="A20" s="1354" t="s">
        <v>457</v>
      </c>
      <c r="B20" s="1355"/>
      <c r="C20" s="1355"/>
      <c r="D20" s="1355"/>
      <c r="E20" s="1355"/>
      <c r="F20" s="1355"/>
      <c r="G20" s="1355"/>
      <c r="H20" s="1355"/>
      <c r="I20" s="1355"/>
      <c r="J20" s="1355"/>
      <c r="K20" s="1355"/>
      <c r="L20" s="1355"/>
      <c r="M20" s="1356"/>
    </row>
    <row r="21" spans="1:13" ht="94.5" customHeight="1" thickBot="1" x14ac:dyDescent="0.3">
      <c r="A21" s="1401" t="s">
        <v>458</v>
      </c>
      <c r="B21" s="1402"/>
      <c r="C21" s="1402"/>
      <c r="D21" s="1402"/>
      <c r="E21" s="1402"/>
      <c r="F21" s="1402"/>
      <c r="G21" s="1402"/>
      <c r="H21" s="1402"/>
      <c r="I21" s="1402"/>
      <c r="J21" s="1402"/>
      <c r="K21" s="1402"/>
      <c r="L21" s="1402"/>
      <c r="M21" s="1403"/>
    </row>
    <row r="22" spans="1:13" ht="14.65" customHeight="1" x14ac:dyDescent="0.25">
      <c r="A22" s="1404" t="s">
        <v>459</v>
      </c>
      <c r="B22" s="1406" t="s">
        <v>460</v>
      </c>
      <c r="C22" s="1408" t="s">
        <v>461</v>
      </c>
      <c r="D22" s="1410" t="s">
        <v>462</v>
      </c>
      <c r="E22" s="1411"/>
      <c r="F22" s="1467"/>
      <c r="G22" s="1410" t="s">
        <v>463</v>
      </c>
      <c r="H22" s="1411"/>
      <c r="I22" s="1468" t="s">
        <v>777</v>
      </c>
      <c r="J22" s="1469"/>
      <c r="K22" s="1469"/>
      <c r="L22" s="1469"/>
      <c r="M22" s="1470"/>
    </row>
    <row r="23" spans="1:13" ht="28.5" customHeight="1" x14ac:dyDescent="0.25">
      <c r="A23" s="1405"/>
      <c r="B23" s="1407"/>
      <c r="C23" s="1409"/>
      <c r="D23" s="493"/>
      <c r="E23" s="494"/>
      <c r="F23" s="495"/>
      <c r="G23" s="493"/>
      <c r="H23" s="494"/>
      <c r="I23" s="308" t="s">
        <v>464</v>
      </c>
      <c r="J23" s="309" t="s">
        <v>465</v>
      </c>
      <c r="K23" s="1380" t="s">
        <v>466</v>
      </c>
      <c r="L23" s="1382"/>
      <c r="M23" s="1383"/>
    </row>
    <row r="24" spans="1:13" ht="28.35" customHeight="1" x14ac:dyDescent="0.25">
      <c r="A24" s="54"/>
      <c r="B24" s="268" t="s">
        <v>467</v>
      </c>
      <c r="C24" s="284"/>
      <c r="D24" s="1389"/>
      <c r="E24" s="1390"/>
      <c r="F24" s="1391"/>
      <c r="G24" s="1460"/>
      <c r="H24" s="1461"/>
      <c r="I24" s="55"/>
      <c r="J24" s="310">
        <f t="shared" ref="J24" si="0">I24/128</f>
        <v>0</v>
      </c>
      <c r="K24" s="1462"/>
      <c r="L24" s="1463"/>
      <c r="M24" s="1464"/>
    </row>
    <row r="25" spans="1:13" ht="14.65" customHeight="1" x14ac:dyDescent="0.25">
      <c r="A25" s="54"/>
      <c r="B25" s="56"/>
      <c r="C25" s="284"/>
      <c r="D25" s="1389"/>
      <c r="E25" s="1390"/>
      <c r="F25" s="1391"/>
      <c r="G25" s="1460"/>
      <c r="H25" s="1461"/>
      <c r="I25" s="1471"/>
      <c r="J25" s="1472"/>
      <c r="K25" s="1472"/>
      <c r="L25" s="1472"/>
      <c r="M25" s="1473"/>
    </row>
    <row r="26" spans="1:13" ht="14.65" customHeight="1" x14ac:dyDescent="0.25">
      <c r="A26" s="312">
        <f>SUM(A24:A25)</f>
        <v>0</v>
      </c>
      <c r="B26" s="313" t="s">
        <v>468</v>
      </c>
      <c r="C26" s="314" t="str">
        <f>IF(A26=0,"",SUM(A24*C24,A25*C25)/A26)</f>
        <v/>
      </c>
      <c r="D26" s="1427" t="s">
        <v>469</v>
      </c>
      <c r="E26" s="1428"/>
      <c r="F26" s="1428"/>
      <c r="G26" s="1428"/>
      <c r="H26" s="1465"/>
      <c r="I26" s="1465"/>
      <c r="J26" s="1465"/>
      <c r="K26" s="1465"/>
      <c r="L26" s="1465"/>
      <c r="M26" s="1466"/>
    </row>
    <row r="27" spans="1:13" ht="6" customHeight="1" x14ac:dyDescent="0.25">
      <c r="A27" s="1352"/>
      <c r="B27" s="450"/>
      <c r="C27" s="450"/>
      <c r="D27" s="450"/>
      <c r="E27" s="450"/>
      <c r="F27" s="450"/>
      <c r="G27" s="450"/>
      <c r="H27" s="450"/>
      <c r="I27" s="450"/>
      <c r="J27" s="450"/>
      <c r="K27" s="450"/>
      <c r="L27" s="450"/>
      <c r="M27" s="1353"/>
    </row>
    <row r="28" spans="1:13" ht="14.65" customHeight="1" x14ac:dyDescent="0.25">
      <c r="A28" s="1398" t="s">
        <v>470</v>
      </c>
      <c r="B28" s="1399"/>
      <c r="C28" s="1399"/>
      <c r="D28" s="1399"/>
      <c r="E28" s="1399"/>
      <c r="F28" s="1399"/>
      <c r="G28" s="1399"/>
      <c r="H28" s="1399"/>
      <c r="I28" s="1399"/>
      <c r="J28" s="1399"/>
      <c r="K28" s="1399"/>
      <c r="L28" s="1399"/>
      <c r="M28" s="1400"/>
    </row>
    <row r="29" spans="1:13" ht="87.4" customHeight="1" thickBot="1" x14ac:dyDescent="0.3">
      <c r="A29" s="1401" t="s">
        <v>471</v>
      </c>
      <c r="B29" s="1402"/>
      <c r="C29" s="1402"/>
      <c r="D29" s="1402"/>
      <c r="E29" s="1402"/>
      <c r="F29" s="1402"/>
      <c r="G29" s="1402"/>
      <c r="H29" s="1402"/>
      <c r="I29" s="1402"/>
      <c r="J29" s="1402"/>
      <c r="K29" s="1402"/>
      <c r="L29" s="1402"/>
      <c r="M29" s="1403"/>
    </row>
    <row r="30" spans="1:13" ht="14.65" customHeight="1" x14ac:dyDescent="0.25">
      <c r="A30" s="1404" t="s">
        <v>472</v>
      </c>
      <c r="B30" s="1406" t="s">
        <v>460</v>
      </c>
      <c r="C30" s="1408" t="s">
        <v>461</v>
      </c>
      <c r="D30" s="1410" t="s">
        <v>473</v>
      </c>
      <c r="E30" s="1411"/>
      <c r="F30" s="1467"/>
      <c r="G30" s="1410" t="s">
        <v>463</v>
      </c>
      <c r="H30" s="1411"/>
      <c r="I30" s="1468" t="s">
        <v>777</v>
      </c>
      <c r="J30" s="1469"/>
      <c r="K30" s="1469"/>
      <c r="L30" s="1469"/>
      <c r="M30" s="1470"/>
    </row>
    <row r="31" spans="1:13" ht="28.35" customHeight="1" x14ac:dyDescent="0.25">
      <c r="A31" s="1405"/>
      <c r="B31" s="1407"/>
      <c r="C31" s="1409"/>
      <c r="D31" s="493"/>
      <c r="E31" s="494"/>
      <c r="F31" s="495"/>
      <c r="G31" s="493"/>
      <c r="H31" s="494"/>
      <c r="I31" s="308" t="s">
        <v>464</v>
      </c>
      <c r="J31" s="309" t="s">
        <v>465</v>
      </c>
      <c r="K31" s="1380" t="s">
        <v>466</v>
      </c>
      <c r="L31" s="1382"/>
      <c r="M31" s="1383"/>
    </row>
    <row r="32" spans="1:13" ht="29.65" customHeight="1" x14ac:dyDescent="0.25">
      <c r="A32" s="54"/>
      <c r="B32" s="56"/>
      <c r="C32" s="284"/>
      <c r="D32" s="1389"/>
      <c r="E32" s="1390"/>
      <c r="F32" s="1391"/>
      <c r="G32" s="1460"/>
      <c r="H32" s="1461"/>
      <c r="I32" s="55"/>
      <c r="J32" s="310">
        <f>I32/128</f>
        <v>0</v>
      </c>
      <c r="K32" s="1462"/>
      <c r="L32" s="1463"/>
      <c r="M32" s="1464"/>
    </row>
    <row r="33" spans="1:13" ht="30.4" customHeight="1" x14ac:dyDescent="0.25">
      <c r="A33" s="54"/>
      <c r="B33" s="56"/>
      <c r="C33" s="284"/>
      <c r="D33" s="1389"/>
      <c r="E33" s="1390"/>
      <c r="F33" s="1391"/>
      <c r="G33" s="1460"/>
      <c r="H33" s="1461"/>
      <c r="I33" s="55"/>
      <c r="J33" s="310">
        <f>I33/128</f>
        <v>0</v>
      </c>
      <c r="K33" s="1462"/>
      <c r="L33" s="1463"/>
      <c r="M33" s="1464"/>
    </row>
    <row r="34" spans="1:13" ht="29.65" customHeight="1" x14ac:dyDescent="0.25">
      <c r="A34" s="54"/>
      <c r="B34" s="56"/>
      <c r="C34" s="284"/>
      <c r="D34" s="1389"/>
      <c r="E34" s="1390"/>
      <c r="F34" s="1391"/>
      <c r="G34" s="1460"/>
      <c r="H34" s="1461"/>
      <c r="I34" s="55"/>
      <c r="J34" s="310">
        <f>I34/128</f>
        <v>0</v>
      </c>
      <c r="K34" s="1462"/>
      <c r="L34" s="1463"/>
      <c r="M34" s="1464"/>
    </row>
    <row r="35" spans="1:13" ht="28.5" customHeight="1" x14ac:dyDescent="0.25">
      <c r="A35" s="54"/>
      <c r="B35" s="56"/>
      <c r="C35" s="284"/>
      <c r="D35" s="1389"/>
      <c r="E35" s="1390"/>
      <c r="F35" s="1391"/>
      <c r="G35" s="1460"/>
      <c r="H35" s="1461"/>
      <c r="I35" s="55"/>
      <c r="J35" s="310">
        <f>I35/128</f>
        <v>0</v>
      </c>
      <c r="K35" s="1462"/>
      <c r="L35" s="1463"/>
      <c r="M35" s="1464"/>
    </row>
    <row r="36" spans="1:13" ht="28.5" customHeight="1" thickBot="1" x14ac:dyDescent="0.3">
      <c r="A36" s="57"/>
      <c r="B36" s="58"/>
      <c r="C36" s="59"/>
      <c r="D36" s="1450"/>
      <c r="E36" s="1451"/>
      <c r="F36" s="1452"/>
      <c r="G36" s="1453"/>
      <c r="H36" s="1454"/>
      <c r="I36" s="60"/>
      <c r="J36" s="315">
        <f>I36/128</f>
        <v>0</v>
      </c>
      <c r="K36" s="1455"/>
      <c r="L36" s="1456"/>
      <c r="M36" s="1457"/>
    </row>
    <row r="37" spans="1:13" ht="14.65" customHeight="1" x14ac:dyDescent="0.25">
      <c r="A37" s="316">
        <f>SUM(A32:A36)</f>
        <v>0</v>
      </c>
      <c r="B37" s="317" t="s">
        <v>474</v>
      </c>
      <c r="C37" s="318" t="str">
        <f>IF(A37=0,"",SUM(A32*C32,A33*C33,A34*C34,A35*C35,A36*C36)/A37)</f>
        <v/>
      </c>
      <c r="D37" s="1458" t="s">
        <v>469</v>
      </c>
      <c r="E37" s="1459"/>
      <c r="F37" s="1459"/>
      <c r="G37" s="1459"/>
      <c r="H37" s="319"/>
      <c r="I37" s="319"/>
      <c r="J37" s="319"/>
      <c r="K37" s="319"/>
      <c r="L37" s="319"/>
      <c r="M37" s="320"/>
    </row>
    <row r="38" spans="1:13" ht="6" customHeight="1" x14ac:dyDescent="0.25">
      <c r="A38" s="1352"/>
      <c r="B38" s="450"/>
      <c r="C38" s="450"/>
      <c r="D38" s="450"/>
      <c r="E38" s="450"/>
      <c r="F38" s="450"/>
      <c r="G38" s="450"/>
      <c r="H38" s="450"/>
      <c r="I38" s="450"/>
      <c r="J38" s="450"/>
      <c r="K38" s="450"/>
      <c r="L38" s="450"/>
      <c r="M38" s="1353"/>
    </row>
    <row r="39" spans="1:13" ht="14.65" customHeight="1" x14ac:dyDescent="0.25">
      <c r="A39" s="1398" t="s">
        <v>475</v>
      </c>
      <c r="B39" s="1399"/>
      <c r="C39" s="1399"/>
      <c r="D39" s="1399"/>
      <c r="E39" s="1399"/>
      <c r="F39" s="1399"/>
      <c r="G39" s="1399"/>
      <c r="H39" s="1399"/>
      <c r="I39" s="1399"/>
      <c r="J39" s="1399"/>
      <c r="K39" s="1399"/>
      <c r="L39" s="1399"/>
      <c r="M39" s="1400"/>
    </row>
    <row r="40" spans="1:13" ht="52.35" customHeight="1" x14ac:dyDescent="0.25">
      <c r="A40" s="1377" t="s">
        <v>476</v>
      </c>
      <c r="B40" s="1378"/>
      <c r="C40" s="1378"/>
      <c r="D40" s="1378"/>
      <c r="E40" s="1378"/>
      <c r="F40" s="1378"/>
      <c r="G40" s="1378"/>
      <c r="H40" s="1378"/>
      <c r="I40" s="1378"/>
      <c r="J40" s="1378"/>
      <c r="K40" s="1378"/>
      <c r="L40" s="1378"/>
      <c r="M40" s="1379"/>
    </row>
    <row r="41" spans="1:13" ht="42.4" customHeight="1" x14ac:dyDescent="0.25">
      <c r="A41" s="321" t="s">
        <v>459</v>
      </c>
      <c r="B41" s="100" t="s">
        <v>460</v>
      </c>
      <c r="C41" s="322" t="s">
        <v>461</v>
      </c>
      <c r="D41" s="1407" t="s">
        <v>477</v>
      </c>
      <c r="E41" s="1407"/>
      <c r="F41" s="1407"/>
      <c r="G41" s="1407"/>
      <c r="H41" s="1449" t="s">
        <v>463</v>
      </c>
      <c r="I41" s="1381"/>
      <c r="J41" s="1380" t="s">
        <v>374</v>
      </c>
      <c r="K41" s="1382"/>
      <c r="L41" s="1382"/>
      <c r="M41" s="1383"/>
    </row>
    <row r="42" spans="1:13" ht="28.35" customHeight="1" x14ac:dyDescent="0.25">
      <c r="A42" s="54"/>
      <c r="B42" s="61"/>
      <c r="C42" s="62"/>
      <c r="D42" s="1443"/>
      <c r="E42" s="1443"/>
      <c r="F42" s="1443"/>
      <c r="G42" s="1443"/>
      <c r="H42" s="1444"/>
      <c r="I42" s="1445"/>
      <c r="J42" s="1446"/>
      <c r="K42" s="1447"/>
      <c r="L42" s="1447"/>
      <c r="M42" s="1448"/>
    </row>
    <row r="43" spans="1:13" ht="28.35" customHeight="1" x14ac:dyDescent="0.25">
      <c r="A43" s="54"/>
      <c r="B43" s="61"/>
      <c r="C43" s="62"/>
      <c r="D43" s="1443"/>
      <c r="E43" s="1443"/>
      <c r="F43" s="1443"/>
      <c r="G43" s="1443"/>
      <c r="H43" s="1444"/>
      <c r="I43" s="1445"/>
      <c r="J43" s="1446"/>
      <c r="K43" s="1447"/>
      <c r="L43" s="1447"/>
      <c r="M43" s="1448"/>
    </row>
    <row r="44" spans="1:13" ht="28.35" customHeight="1" x14ac:dyDescent="0.25">
      <c r="A44" s="54"/>
      <c r="B44" s="61"/>
      <c r="C44" s="62"/>
      <c r="D44" s="1443"/>
      <c r="E44" s="1443"/>
      <c r="F44" s="1443"/>
      <c r="G44" s="1443"/>
      <c r="H44" s="1444"/>
      <c r="I44" s="1445"/>
      <c r="J44" s="1446"/>
      <c r="K44" s="1447"/>
      <c r="L44" s="1447"/>
      <c r="M44" s="1448"/>
    </row>
    <row r="45" spans="1:13" ht="29.1" customHeight="1" x14ac:dyDescent="0.25">
      <c r="A45" s="54"/>
      <c r="B45" s="61"/>
      <c r="C45" s="62"/>
      <c r="D45" s="1443"/>
      <c r="E45" s="1443"/>
      <c r="F45" s="1443"/>
      <c r="G45" s="1443"/>
      <c r="H45" s="1444"/>
      <c r="I45" s="1445"/>
      <c r="J45" s="1446"/>
      <c r="K45" s="1447"/>
      <c r="L45" s="1447"/>
      <c r="M45" s="1448"/>
    </row>
    <row r="46" spans="1:13" ht="14.65" customHeight="1" x14ac:dyDescent="0.25">
      <c r="A46" s="54"/>
      <c r="B46" s="61"/>
      <c r="C46" s="62"/>
      <c r="D46" s="1443"/>
      <c r="E46" s="1443"/>
      <c r="F46" s="1443"/>
      <c r="G46" s="1443"/>
      <c r="H46" s="1444"/>
      <c r="I46" s="1445"/>
      <c r="J46" s="1446"/>
      <c r="K46" s="1447"/>
      <c r="L46" s="1447"/>
      <c r="M46" s="1448"/>
    </row>
    <row r="47" spans="1:13" ht="14.65" customHeight="1" x14ac:dyDescent="0.25">
      <c r="A47" s="323">
        <f>SUM(A42:A46)</f>
        <v>0</v>
      </c>
      <c r="B47" s="313" t="s">
        <v>468</v>
      </c>
      <c r="C47" s="314" t="str">
        <f>IF(A47=0,"",SUM(A42*C42,A43*C43,A44*C44,A45*C45,A46*C46)/A47)</f>
        <v/>
      </c>
      <c r="D47" s="1427" t="s">
        <v>469</v>
      </c>
      <c r="E47" s="1428"/>
      <c r="F47" s="1428"/>
      <c r="G47" s="1428"/>
      <c r="H47" s="1429"/>
      <c r="I47" s="1429"/>
      <c r="J47" s="1429"/>
      <c r="K47" s="1429"/>
      <c r="L47" s="1429"/>
      <c r="M47" s="1430"/>
    </row>
    <row r="48" spans="1:13" ht="6" customHeight="1" x14ac:dyDescent="0.25">
      <c r="A48" s="1431"/>
      <c r="B48" s="1432"/>
      <c r="C48" s="1432"/>
      <c r="D48" s="1432"/>
      <c r="E48" s="1432"/>
      <c r="F48" s="1432"/>
      <c r="G48" s="1432"/>
      <c r="H48" s="1432"/>
      <c r="I48" s="1432"/>
      <c r="J48" s="1432"/>
      <c r="K48" s="1432"/>
      <c r="L48" s="1432"/>
      <c r="M48" s="1433"/>
    </row>
    <row r="49" spans="1:13" ht="14.25" customHeight="1" x14ac:dyDescent="0.25">
      <c r="A49" s="1434" t="s">
        <v>478</v>
      </c>
      <c r="B49" s="1435"/>
      <c r="C49" s="1435"/>
      <c r="D49" s="1435"/>
      <c r="E49" s="1435"/>
      <c r="F49" s="1435"/>
      <c r="G49" s="1435"/>
      <c r="H49" s="798"/>
      <c r="I49" s="798"/>
      <c r="J49" s="798"/>
      <c r="K49" s="798"/>
      <c r="L49" s="798"/>
      <c r="M49" s="1436"/>
    </row>
    <row r="50" spans="1:13" ht="14.25" customHeight="1" x14ac:dyDescent="0.25">
      <c r="A50" s="1437" t="s">
        <v>479</v>
      </c>
      <c r="B50" s="1438"/>
      <c r="C50" s="1438"/>
      <c r="D50" s="1438"/>
      <c r="E50" s="1438"/>
      <c r="F50" s="1438"/>
      <c r="G50" s="1438"/>
      <c r="H50" s="713"/>
      <c r="I50" s="713"/>
      <c r="J50" s="713"/>
      <c r="K50" s="713"/>
      <c r="L50" s="713"/>
      <c r="M50" s="1439"/>
    </row>
    <row r="51" spans="1:13" ht="27.4" customHeight="1" x14ac:dyDescent="0.25">
      <c r="A51" s="324" t="s">
        <v>480</v>
      </c>
      <c r="B51" s="325" t="s">
        <v>460</v>
      </c>
      <c r="C51" s="326" t="s">
        <v>481</v>
      </c>
      <c r="D51" s="1440" t="s">
        <v>482</v>
      </c>
      <c r="E51" s="1441"/>
      <c r="F51" s="1441"/>
      <c r="G51" s="1441"/>
      <c r="H51" s="1441"/>
      <c r="I51" s="1441"/>
      <c r="J51" s="1441"/>
      <c r="K51" s="1441"/>
      <c r="L51" s="1441"/>
      <c r="M51" s="1442"/>
    </row>
    <row r="52" spans="1:13" ht="14.25" customHeight="1" x14ac:dyDescent="0.25">
      <c r="A52" s="54"/>
      <c r="B52" s="56"/>
      <c r="C52" s="284"/>
      <c r="D52" s="1418"/>
      <c r="E52" s="1419"/>
      <c r="F52" s="1419"/>
      <c r="G52" s="1419"/>
      <c r="H52" s="481"/>
      <c r="I52" s="481"/>
      <c r="J52" s="481"/>
      <c r="K52" s="481"/>
      <c r="L52" s="481"/>
      <c r="M52" s="1420"/>
    </row>
    <row r="53" spans="1:13" ht="14.25" customHeight="1" x14ac:dyDescent="0.25">
      <c r="A53" s="54"/>
      <c r="B53" s="56"/>
      <c r="C53" s="284"/>
      <c r="D53" s="1418"/>
      <c r="E53" s="1419"/>
      <c r="F53" s="1419"/>
      <c r="G53" s="1419"/>
      <c r="H53" s="481"/>
      <c r="I53" s="481"/>
      <c r="J53" s="481"/>
      <c r="K53" s="481"/>
      <c r="L53" s="481"/>
      <c r="M53" s="1420"/>
    </row>
    <row r="54" spans="1:13" ht="14.25" customHeight="1" x14ac:dyDescent="0.25">
      <c r="A54" s="54"/>
      <c r="B54" s="56"/>
      <c r="C54" s="284"/>
      <c r="D54" s="1418"/>
      <c r="E54" s="1419"/>
      <c r="F54" s="1419"/>
      <c r="G54" s="1419"/>
      <c r="H54" s="481"/>
      <c r="I54" s="481"/>
      <c r="J54" s="481"/>
      <c r="K54" s="481"/>
      <c r="L54" s="481"/>
      <c r="M54" s="1420"/>
    </row>
    <row r="55" spans="1:13" ht="14.25" customHeight="1" x14ac:dyDescent="0.25">
      <c r="A55" s="54"/>
      <c r="B55" s="56"/>
      <c r="C55" s="284"/>
      <c r="D55" s="1421"/>
      <c r="E55" s="1421"/>
      <c r="F55" s="1421"/>
      <c r="G55" s="1421"/>
      <c r="H55" s="1422"/>
      <c r="I55" s="1422"/>
      <c r="J55" s="1422"/>
      <c r="K55" s="1422"/>
      <c r="L55" s="1422"/>
      <c r="M55" s="1423"/>
    </row>
    <row r="56" spans="1:13" ht="14.25" customHeight="1" x14ac:dyDescent="0.25">
      <c r="A56" s="54"/>
      <c r="B56" s="56"/>
      <c r="C56" s="284"/>
      <c r="D56" s="1421"/>
      <c r="E56" s="1421"/>
      <c r="F56" s="1421"/>
      <c r="G56" s="1421"/>
      <c r="H56" s="1422"/>
      <c r="I56" s="1422"/>
      <c r="J56" s="1422"/>
      <c r="K56" s="1422"/>
      <c r="L56" s="1422"/>
      <c r="M56" s="1423"/>
    </row>
    <row r="57" spans="1:13" ht="14.25" customHeight="1" x14ac:dyDescent="0.25">
      <c r="A57" s="323">
        <f>SUM(A52:A56)</f>
        <v>0</v>
      </c>
      <c r="B57" s="327" t="s">
        <v>483</v>
      </c>
      <c r="C57" s="314" t="str">
        <f>IF(A57=0,"",SUM(A52*C52,A53*C53,A54*C54,A55*C55,A56*C56)/A57)</f>
        <v/>
      </c>
      <c r="D57" s="1424" t="s">
        <v>469</v>
      </c>
      <c r="E57" s="1425"/>
      <c r="F57" s="1425"/>
      <c r="G57" s="1425"/>
      <c r="H57" s="1050"/>
      <c r="I57" s="1050"/>
      <c r="J57" s="1050"/>
      <c r="K57" s="1050"/>
      <c r="L57" s="1050"/>
      <c r="M57" s="1426"/>
    </row>
    <row r="58" spans="1:13" ht="6" customHeight="1" x14ac:dyDescent="0.25">
      <c r="A58" s="1352"/>
      <c r="B58" s="450"/>
      <c r="C58" s="450"/>
      <c r="D58" s="450"/>
      <c r="E58" s="450"/>
      <c r="F58" s="450"/>
      <c r="G58" s="450"/>
      <c r="H58" s="450"/>
      <c r="I58" s="450"/>
      <c r="J58" s="450"/>
      <c r="K58" s="450"/>
      <c r="L58" s="450"/>
      <c r="M58" s="1353"/>
    </row>
    <row r="59" spans="1:13" ht="14.85" customHeight="1" x14ac:dyDescent="0.25">
      <c r="A59" s="1398" t="s">
        <v>484</v>
      </c>
      <c r="B59" s="1399"/>
      <c r="C59" s="1399"/>
      <c r="D59" s="1399"/>
      <c r="E59" s="1399"/>
      <c r="F59" s="1399"/>
      <c r="G59" s="1399"/>
      <c r="H59" s="1399"/>
      <c r="I59" s="1399"/>
      <c r="J59" s="1399"/>
      <c r="K59" s="1399"/>
      <c r="L59" s="1399"/>
      <c r="M59" s="1400"/>
    </row>
    <row r="60" spans="1:13" ht="14.85" customHeight="1" thickBot="1" x14ac:dyDescent="0.3">
      <c r="A60" s="1401" t="s">
        <v>485</v>
      </c>
      <c r="B60" s="1402"/>
      <c r="C60" s="1402"/>
      <c r="D60" s="1402"/>
      <c r="E60" s="1402"/>
      <c r="F60" s="1402"/>
      <c r="G60" s="1402"/>
      <c r="H60" s="1402"/>
      <c r="I60" s="1402"/>
      <c r="J60" s="1402"/>
      <c r="K60" s="1402"/>
      <c r="L60" s="1402"/>
      <c r="M60" s="1403"/>
    </row>
    <row r="61" spans="1:13" ht="14.85" customHeight="1" x14ac:dyDescent="0.25">
      <c r="A61" s="1404" t="s">
        <v>486</v>
      </c>
      <c r="B61" s="1406" t="s">
        <v>460</v>
      </c>
      <c r="C61" s="1408" t="s">
        <v>487</v>
      </c>
      <c r="D61" s="1410" t="s">
        <v>488</v>
      </c>
      <c r="E61" s="1411"/>
      <c r="F61" s="1411"/>
      <c r="G61" s="1412" t="s">
        <v>374</v>
      </c>
      <c r="H61" s="1413"/>
      <c r="I61" s="1413"/>
      <c r="J61" s="1413"/>
      <c r="K61" s="1413"/>
      <c r="L61" s="1413"/>
      <c r="M61" s="1414"/>
    </row>
    <row r="62" spans="1:13" ht="24.75" customHeight="1" x14ac:dyDescent="0.25">
      <c r="A62" s="1405"/>
      <c r="B62" s="1407"/>
      <c r="C62" s="1409"/>
      <c r="D62" s="493"/>
      <c r="E62" s="494"/>
      <c r="F62" s="494"/>
      <c r="G62" s="1415"/>
      <c r="H62" s="1416"/>
      <c r="I62" s="1416"/>
      <c r="J62" s="1416"/>
      <c r="K62" s="1416"/>
      <c r="L62" s="1416"/>
      <c r="M62" s="1417"/>
    </row>
    <row r="63" spans="1:13" ht="14.85" customHeight="1" x14ac:dyDescent="0.25">
      <c r="A63" s="54"/>
      <c r="B63" s="61"/>
      <c r="C63" s="62"/>
      <c r="D63" s="1389"/>
      <c r="E63" s="1390"/>
      <c r="F63" s="1391"/>
      <c r="G63" s="1389"/>
      <c r="H63" s="1390"/>
      <c r="I63" s="1390"/>
      <c r="J63" s="1390"/>
      <c r="K63" s="1390"/>
      <c r="L63" s="1390"/>
      <c r="M63" s="1392"/>
    </row>
    <row r="64" spans="1:13" ht="14.85" customHeight="1" x14ac:dyDescent="0.25">
      <c r="A64" s="54"/>
      <c r="B64" s="61"/>
      <c r="C64" s="62"/>
      <c r="D64" s="1389"/>
      <c r="E64" s="1390"/>
      <c r="F64" s="1391"/>
      <c r="G64" s="1389"/>
      <c r="H64" s="1390"/>
      <c r="I64" s="1390"/>
      <c r="J64" s="1390"/>
      <c r="K64" s="1390"/>
      <c r="L64" s="1390"/>
      <c r="M64" s="1392"/>
    </row>
    <row r="65" spans="1:13" ht="14.85" customHeight="1" x14ac:dyDescent="0.25">
      <c r="A65" s="323">
        <f>SUM(A63:A64)</f>
        <v>0</v>
      </c>
      <c r="B65" s="313" t="s">
        <v>489</v>
      </c>
      <c r="C65" s="314" t="str">
        <f>IF(A65=0,"",SUM(A63*C63,A64*C64)/A65)</f>
        <v/>
      </c>
      <c r="D65" s="1371" t="s">
        <v>469</v>
      </c>
      <c r="E65" s="1393"/>
      <c r="F65" s="1393"/>
      <c r="G65" s="1393"/>
      <c r="H65" s="1393"/>
      <c r="I65" s="1393"/>
      <c r="J65" s="1393"/>
      <c r="K65" s="1393"/>
      <c r="L65" s="1393"/>
      <c r="M65" s="1394"/>
    </row>
    <row r="66" spans="1:13" ht="6" customHeight="1" x14ac:dyDescent="0.25">
      <c r="A66" s="1352"/>
      <c r="B66" s="450"/>
      <c r="C66" s="450"/>
      <c r="D66" s="450"/>
      <c r="E66" s="450"/>
      <c r="F66" s="450"/>
      <c r="G66" s="450"/>
      <c r="H66" s="450"/>
      <c r="I66" s="450"/>
      <c r="J66" s="450"/>
      <c r="K66" s="450"/>
      <c r="L66" s="450"/>
      <c r="M66" s="1353"/>
    </row>
    <row r="67" spans="1:13" ht="14.85" customHeight="1" x14ac:dyDescent="0.25">
      <c r="A67" s="1354" t="s">
        <v>490</v>
      </c>
      <c r="B67" s="1384"/>
      <c r="C67" s="1384"/>
      <c r="D67" s="1384"/>
      <c r="E67" s="1384"/>
      <c r="F67" s="1384"/>
      <c r="G67" s="1384"/>
      <c r="H67" s="1384"/>
      <c r="I67" s="1384"/>
      <c r="J67" s="1384"/>
      <c r="K67" s="1384"/>
      <c r="L67" s="1384"/>
      <c r="M67" s="1385"/>
    </row>
    <row r="68" spans="1:13" ht="38.25" customHeight="1" x14ac:dyDescent="0.25">
      <c r="A68" s="1377" t="s">
        <v>779</v>
      </c>
      <c r="B68" s="1378"/>
      <c r="C68" s="1378"/>
      <c r="D68" s="1378"/>
      <c r="E68" s="1378"/>
      <c r="F68" s="1378"/>
      <c r="G68" s="1378"/>
      <c r="H68" s="1378"/>
      <c r="I68" s="1378"/>
      <c r="J68" s="1378"/>
      <c r="K68" s="1378"/>
      <c r="L68" s="1378"/>
      <c r="M68" s="1379"/>
    </row>
    <row r="69" spans="1:13" ht="42" customHeight="1" x14ac:dyDescent="0.25">
      <c r="A69" s="1386" t="s">
        <v>491</v>
      </c>
      <c r="B69" s="1387"/>
      <c r="C69" s="1387"/>
      <c r="D69" s="1387"/>
      <c r="E69" s="1388"/>
      <c r="F69" s="328" t="s">
        <v>780</v>
      </c>
      <c r="G69" s="305" t="s">
        <v>492</v>
      </c>
      <c r="H69" s="1395" t="s">
        <v>374</v>
      </c>
      <c r="I69" s="1396"/>
      <c r="J69" s="1396"/>
      <c r="K69" s="1396"/>
      <c r="L69" s="1396"/>
      <c r="M69" s="1397"/>
    </row>
    <row r="70" spans="1:13" ht="14.85" customHeight="1" x14ac:dyDescent="0.25">
      <c r="A70" s="1365"/>
      <c r="B70" s="1366"/>
      <c r="C70" s="1366"/>
      <c r="D70" s="1366"/>
      <c r="E70" s="1367"/>
      <c r="F70" s="63"/>
      <c r="G70" s="63"/>
      <c r="H70" s="1374"/>
      <c r="I70" s="1375"/>
      <c r="J70" s="1375"/>
      <c r="K70" s="1375"/>
      <c r="L70" s="1375"/>
      <c r="M70" s="1376"/>
    </row>
    <row r="71" spans="1:13" ht="14.85" customHeight="1" x14ac:dyDescent="0.25">
      <c r="A71" s="1365"/>
      <c r="B71" s="1366"/>
      <c r="C71" s="1366"/>
      <c r="D71" s="1366"/>
      <c r="E71" s="1367"/>
      <c r="F71" s="63"/>
      <c r="G71" s="63"/>
      <c r="H71" s="1374"/>
      <c r="I71" s="1375"/>
      <c r="J71" s="1375"/>
      <c r="K71" s="1375"/>
      <c r="L71" s="1375"/>
      <c r="M71" s="1376"/>
    </row>
    <row r="72" spans="1:13" ht="14.85" customHeight="1" x14ac:dyDescent="0.25">
      <c r="A72" s="1368" t="s">
        <v>493</v>
      </c>
      <c r="B72" s="1369"/>
      <c r="C72" s="1369"/>
      <c r="D72" s="1369"/>
      <c r="E72" s="1370"/>
      <c r="F72" s="329">
        <f>MAX(F70:F71)</f>
        <v>0</v>
      </c>
      <c r="G72" s="1371" t="s">
        <v>469</v>
      </c>
      <c r="H72" s="1372"/>
      <c r="I72" s="1372"/>
      <c r="J72" s="1372"/>
      <c r="K72" s="1372"/>
      <c r="L72" s="1372"/>
      <c r="M72" s="1373"/>
    </row>
    <row r="73" spans="1:13" ht="6" customHeight="1" x14ac:dyDescent="0.25">
      <c r="A73" s="1352"/>
      <c r="B73" s="450"/>
      <c r="C73" s="450"/>
      <c r="D73" s="450"/>
      <c r="E73" s="450"/>
      <c r="F73" s="450"/>
      <c r="G73" s="450"/>
      <c r="H73" s="450"/>
      <c r="I73" s="450"/>
      <c r="J73" s="450"/>
      <c r="K73" s="450"/>
      <c r="L73" s="450"/>
      <c r="M73" s="1353"/>
    </row>
    <row r="74" spans="1:13" ht="14.85" customHeight="1" x14ac:dyDescent="0.25">
      <c r="A74" s="1354" t="s">
        <v>494</v>
      </c>
      <c r="B74" s="1355"/>
      <c r="C74" s="1355"/>
      <c r="D74" s="1355"/>
      <c r="E74" s="1355"/>
      <c r="F74" s="1355"/>
      <c r="G74" s="1355"/>
      <c r="H74" s="1355"/>
      <c r="I74" s="1355"/>
      <c r="J74" s="1355"/>
      <c r="K74" s="1355"/>
      <c r="L74" s="1355"/>
      <c r="M74" s="1356"/>
    </row>
    <row r="75" spans="1:13" ht="46.5" customHeight="1" x14ac:dyDescent="0.25">
      <c r="A75" s="1377" t="s">
        <v>1363</v>
      </c>
      <c r="B75" s="1378"/>
      <c r="C75" s="1378"/>
      <c r="D75" s="1378"/>
      <c r="E75" s="1378"/>
      <c r="F75" s="1378"/>
      <c r="G75" s="1378"/>
      <c r="H75" s="1378"/>
      <c r="I75" s="1378"/>
      <c r="J75" s="1378"/>
      <c r="K75" s="1378"/>
      <c r="L75" s="1378"/>
      <c r="M75" s="1379"/>
    </row>
    <row r="76" spans="1:13" ht="60" customHeight="1" x14ac:dyDescent="0.25">
      <c r="A76" s="321" t="s">
        <v>1364</v>
      </c>
      <c r="B76" s="305" t="s">
        <v>495</v>
      </c>
      <c r="C76" s="1380" t="s">
        <v>496</v>
      </c>
      <c r="D76" s="1381"/>
      <c r="E76" s="1380" t="s">
        <v>497</v>
      </c>
      <c r="F76" s="1381"/>
      <c r="G76" s="1380" t="s">
        <v>374</v>
      </c>
      <c r="H76" s="1382"/>
      <c r="I76" s="1382"/>
      <c r="J76" s="1382"/>
      <c r="K76" s="1382"/>
      <c r="L76" s="1382"/>
      <c r="M76" s="1383"/>
    </row>
    <row r="77" spans="1:13" ht="14.85" customHeight="1" x14ac:dyDescent="0.25">
      <c r="A77" s="71"/>
      <c r="B77" s="63"/>
      <c r="C77" s="1359"/>
      <c r="D77" s="1360"/>
      <c r="E77" s="728" t="str">
        <f>IF(A77="","Not Tested",(IF(A77="No","Not Tested",(IF(A77="Yes",(IF(B2-C2=0,(IF(B77-C77=0,"PASSED",(IF(B77&lt;&gt;C77,"FAILED","Check Inputs")))))))))))</f>
        <v>Not Tested</v>
      </c>
      <c r="F77" s="1361"/>
      <c r="G77" s="1362"/>
      <c r="H77" s="1363"/>
      <c r="I77" s="1363"/>
      <c r="J77" s="1363"/>
      <c r="K77" s="1363"/>
      <c r="L77" s="1363"/>
      <c r="M77" s="1364"/>
    </row>
    <row r="78" spans="1:13" ht="6" customHeight="1" x14ac:dyDescent="0.25">
      <c r="A78" s="1357"/>
      <c r="B78" s="839"/>
      <c r="C78" s="839"/>
      <c r="D78" s="839"/>
      <c r="E78" s="839"/>
      <c r="F78" s="839"/>
      <c r="G78" s="839"/>
      <c r="H78" s="839"/>
      <c r="I78" s="839"/>
      <c r="J78" s="839"/>
      <c r="K78" s="839"/>
      <c r="L78" s="839"/>
      <c r="M78" s="1358"/>
    </row>
    <row r="79" spans="1:13" ht="14.85" customHeight="1" x14ac:dyDescent="0.25">
      <c r="A79" s="1354" t="s">
        <v>498</v>
      </c>
      <c r="B79" s="1355"/>
      <c r="C79" s="1355"/>
      <c r="D79" s="1355"/>
      <c r="E79" s="1355"/>
      <c r="F79" s="1355"/>
      <c r="G79" s="1355"/>
      <c r="H79" s="1355"/>
      <c r="I79" s="1355"/>
      <c r="J79" s="1355"/>
      <c r="K79" s="1355"/>
      <c r="L79" s="1355"/>
      <c r="M79" s="1356"/>
    </row>
    <row r="80" spans="1:13" ht="14.85" customHeight="1" x14ac:dyDescent="0.25">
      <c r="A80" s="1349"/>
      <c r="B80" s="1350"/>
      <c r="C80" s="1350"/>
      <c r="D80" s="1350"/>
      <c r="E80" s="1350"/>
      <c r="F80" s="1350"/>
      <c r="G80" s="1350"/>
      <c r="H80" s="1350"/>
      <c r="I80" s="1350"/>
      <c r="J80" s="1350"/>
      <c r="K80" s="1350"/>
      <c r="L80" s="1350"/>
      <c r="M80" s="1351"/>
    </row>
    <row r="81" spans="1:13" ht="14.85" customHeight="1" x14ac:dyDescent="0.25">
      <c r="A81" s="1349"/>
      <c r="B81" s="1350"/>
      <c r="C81" s="1350"/>
      <c r="D81" s="1350"/>
      <c r="E81" s="1350"/>
      <c r="F81" s="1350"/>
      <c r="G81" s="1350"/>
      <c r="H81" s="1350"/>
      <c r="I81" s="1350"/>
      <c r="J81" s="1350"/>
      <c r="K81" s="1350"/>
      <c r="L81" s="1350"/>
      <c r="M81" s="1351"/>
    </row>
    <row r="82" spans="1:13" ht="14.85" customHeight="1" x14ac:dyDescent="0.25">
      <c r="A82" s="1349"/>
      <c r="B82" s="1350"/>
      <c r="C82" s="1350"/>
      <c r="D82" s="1350"/>
      <c r="E82" s="1350"/>
      <c r="F82" s="1350"/>
      <c r="G82" s="1350"/>
      <c r="H82" s="1350"/>
      <c r="I82" s="1350"/>
      <c r="J82" s="1350"/>
      <c r="K82" s="1350"/>
      <c r="L82" s="1350"/>
      <c r="M82" s="1351"/>
    </row>
    <row r="83" spans="1:13" ht="14.85" customHeight="1" x14ac:dyDescent="0.25">
      <c r="A83" s="1349"/>
      <c r="B83" s="1350"/>
      <c r="C83" s="1350"/>
      <c r="D83" s="1350"/>
      <c r="E83" s="1350"/>
      <c r="F83" s="1350"/>
      <c r="G83" s="1350"/>
      <c r="H83" s="1350"/>
      <c r="I83" s="1350"/>
      <c r="J83" s="1350"/>
      <c r="K83" s="1350"/>
      <c r="L83" s="1350"/>
      <c r="M83" s="1351"/>
    </row>
    <row r="84" spans="1:13" ht="14.85" customHeight="1" x14ac:dyDescent="0.25">
      <c r="A84" s="1349"/>
      <c r="B84" s="1350"/>
      <c r="C84" s="1350"/>
      <c r="D84" s="1350"/>
      <c r="E84" s="1350"/>
      <c r="F84" s="1350"/>
      <c r="G84" s="1350"/>
      <c r="H84" s="1350"/>
      <c r="I84" s="1350"/>
      <c r="J84" s="1350"/>
      <c r="K84" s="1350"/>
      <c r="L84" s="1350"/>
      <c r="M84" s="1351"/>
    </row>
    <row r="85" spans="1:13" ht="6" customHeight="1" x14ac:dyDescent="0.25">
      <c r="A85" s="1352"/>
      <c r="B85" s="450"/>
      <c r="C85" s="450"/>
      <c r="D85" s="450"/>
      <c r="E85" s="450"/>
      <c r="F85" s="450"/>
      <c r="G85" s="450"/>
      <c r="H85" s="450"/>
      <c r="I85" s="450"/>
      <c r="J85" s="450"/>
      <c r="K85" s="450"/>
      <c r="L85" s="450"/>
      <c r="M85" s="1353"/>
    </row>
    <row r="86" spans="1:13" ht="14.85" customHeight="1" x14ac:dyDescent="0.25">
      <c r="A86" s="1354" t="s">
        <v>499</v>
      </c>
      <c r="B86" s="1355"/>
      <c r="C86" s="1355"/>
      <c r="D86" s="1355"/>
      <c r="E86" s="1355"/>
      <c r="F86" s="1355"/>
      <c r="G86" s="1355"/>
      <c r="H86" s="1355"/>
      <c r="I86" s="1355"/>
      <c r="J86" s="1355"/>
      <c r="K86" s="1355"/>
      <c r="L86" s="1355"/>
      <c r="M86" s="1356"/>
    </row>
    <row r="87" spans="1:13" ht="14.85" customHeight="1" x14ac:dyDescent="0.25">
      <c r="A87" s="1346" t="s">
        <v>1031</v>
      </c>
      <c r="B87" s="1347"/>
      <c r="C87" s="1347"/>
      <c r="D87" s="1347"/>
      <c r="E87" s="1347"/>
      <c r="F87" s="1347"/>
      <c r="G87" s="1347"/>
      <c r="H87" s="1347"/>
      <c r="I87" s="1347"/>
      <c r="J87" s="1347"/>
      <c r="K87" s="1347"/>
      <c r="L87" s="1347"/>
      <c r="M87" s="1348"/>
    </row>
    <row r="88" spans="1:13" ht="14.85" customHeight="1" x14ac:dyDescent="0.25">
      <c r="A88" s="1346" t="s">
        <v>1032</v>
      </c>
      <c r="B88" s="1347"/>
      <c r="C88" s="1347"/>
      <c r="D88" s="1347"/>
      <c r="E88" s="1347"/>
      <c r="F88" s="1347"/>
      <c r="G88" s="1347"/>
      <c r="H88" s="1347"/>
      <c r="I88" s="1347"/>
      <c r="J88" s="1347"/>
      <c r="K88" s="1347"/>
      <c r="L88" s="1347"/>
      <c r="M88" s="1348"/>
    </row>
    <row r="89" spans="1:13" ht="14.85" customHeight="1" x14ac:dyDescent="0.25">
      <c r="A89" s="1346" t="s">
        <v>1033</v>
      </c>
      <c r="B89" s="1347"/>
      <c r="C89" s="1347"/>
      <c r="D89" s="1347"/>
      <c r="E89" s="1347"/>
      <c r="F89" s="1347"/>
      <c r="G89" s="1347"/>
      <c r="H89" s="1347"/>
      <c r="I89" s="1347"/>
      <c r="J89" s="1347"/>
      <c r="K89" s="1347"/>
      <c r="L89" s="1347"/>
      <c r="M89" s="1348"/>
    </row>
    <row r="90" spans="1:13" ht="14.85" customHeight="1" x14ac:dyDescent="0.25">
      <c r="A90" s="1346" t="s">
        <v>1034</v>
      </c>
      <c r="B90" s="1347"/>
      <c r="C90" s="1347"/>
      <c r="D90" s="1347"/>
      <c r="E90" s="1347"/>
      <c r="F90" s="1347"/>
      <c r="G90" s="1347"/>
      <c r="H90" s="1347"/>
      <c r="I90" s="1347"/>
      <c r="J90" s="1347"/>
      <c r="K90" s="1347"/>
      <c r="L90" s="1347"/>
      <c r="M90" s="1348"/>
    </row>
    <row r="91" spans="1:13" ht="14.85" customHeight="1" x14ac:dyDescent="0.25">
      <c r="A91" s="1346" t="s">
        <v>1035</v>
      </c>
      <c r="B91" s="1347"/>
      <c r="C91" s="1347"/>
      <c r="D91" s="1347"/>
      <c r="E91" s="1347"/>
      <c r="F91" s="1347"/>
      <c r="G91" s="1347"/>
      <c r="H91" s="1347"/>
      <c r="I91" s="1347"/>
      <c r="J91" s="1347"/>
      <c r="K91" s="1347"/>
      <c r="L91" s="1347"/>
      <c r="M91" s="1348"/>
    </row>
    <row r="92" spans="1:13" ht="14.85" customHeight="1" x14ac:dyDescent="0.25">
      <c r="A92" s="1346" t="s">
        <v>1036</v>
      </c>
      <c r="B92" s="1347"/>
      <c r="C92" s="1347"/>
      <c r="D92" s="1347"/>
      <c r="E92" s="1347"/>
      <c r="F92" s="1347"/>
      <c r="G92" s="1347"/>
      <c r="H92" s="1347"/>
      <c r="I92" s="1347"/>
      <c r="J92" s="1347"/>
      <c r="K92" s="1347"/>
      <c r="L92" s="1347"/>
      <c r="M92" s="1348"/>
    </row>
    <row r="93" spans="1:13" ht="14.85" customHeight="1" x14ac:dyDescent="0.25">
      <c r="A93" s="1346" t="s">
        <v>1037</v>
      </c>
      <c r="B93" s="1347"/>
      <c r="C93" s="1347"/>
      <c r="D93" s="1347"/>
      <c r="E93" s="1347"/>
      <c r="F93" s="1347"/>
      <c r="G93" s="1347"/>
      <c r="H93" s="1347"/>
      <c r="I93" s="1347"/>
      <c r="J93" s="1347"/>
      <c r="K93" s="1347"/>
      <c r="L93" s="1347"/>
      <c r="M93" s="1348"/>
    </row>
    <row r="94" spans="1:13" ht="14.85" customHeight="1" x14ac:dyDescent="0.25">
      <c r="A94" s="1346" t="s">
        <v>1038</v>
      </c>
      <c r="B94" s="1347"/>
      <c r="C94" s="1347"/>
      <c r="D94" s="1347"/>
      <c r="E94" s="1347"/>
      <c r="F94" s="1347"/>
      <c r="G94" s="1347"/>
      <c r="H94" s="1347"/>
      <c r="I94" s="1347"/>
      <c r="J94" s="1347"/>
      <c r="K94" s="1347"/>
      <c r="L94" s="1347"/>
      <c r="M94" s="1348"/>
    </row>
    <row r="95" spans="1:13" ht="14.85" customHeight="1" thickBot="1" x14ac:dyDescent="0.3">
      <c r="A95" s="1493" t="s">
        <v>1039</v>
      </c>
      <c r="B95" s="1494"/>
      <c r="C95" s="1494"/>
      <c r="D95" s="1494"/>
      <c r="E95" s="1494"/>
      <c r="F95" s="1494"/>
      <c r="G95" s="1494"/>
      <c r="H95" s="1494"/>
      <c r="I95" s="1494"/>
      <c r="J95" s="1494"/>
      <c r="K95" s="1494"/>
      <c r="L95" s="1494"/>
      <c r="M95" s="1495"/>
    </row>
    <row r="96" spans="1:13" ht="15.75" thickTop="1" x14ac:dyDescent="0.25"/>
  </sheetData>
  <sheetProtection algorithmName="SHA-512" hashValue="8f2vGIFZ/3VzEMbrpGyXAZ5XI6gN7qpwpZHoNkXinFqIjf9mPh05fEULgvIQouDxFN53EImcWfMn58OgeR87fg==" saltValue="BY9smWZ8/ABP5LU8u95x1Q==" spinCount="100000" sheet="1" objects="1" scenarios="1" formatRows="0" selectLockedCells="1"/>
  <mergeCells count="163">
    <mergeCell ref="A92:M92"/>
    <mergeCell ref="A94:M94"/>
    <mergeCell ref="A95:M95"/>
    <mergeCell ref="A93:M93"/>
    <mergeCell ref="A1:D5"/>
    <mergeCell ref="E1:G5"/>
    <mergeCell ref="H1:H5"/>
    <mergeCell ref="I1:I5"/>
    <mergeCell ref="J1:K5"/>
    <mergeCell ref="L1:M5"/>
    <mergeCell ref="H9:J9"/>
    <mergeCell ref="K9:M9"/>
    <mergeCell ref="A10:B10"/>
    <mergeCell ref="C10:G10"/>
    <mergeCell ref="H10:J10"/>
    <mergeCell ref="K10:M10"/>
    <mergeCell ref="A6:M6"/>
    <mergeCell ref="A7:B7"/>
    <mergeCell ref="C7:G7"/>
    <mergeCell ref="H7:J7"/>
    <mergeCell ref="K7:M7"/>
    <mergeCell ref="A8:B9"/>
    <mergeCell ref="C8:G8"/>
    <mergeCell ref="H8:J8"/>
    <mergeCell ref="K8:M8"/>
    <mergeCell ref="C9:G9"/>
    <mergeCell ref="A16:M16"/>
    <mergeCell ref="A17:M17"/>
    <mergeCell ref="B18:M18"/>
    <mergeCell ref="A19:M19"/>
    <mergeCell ref="A20:M20"/>
    <mergeCell ref="A21:M21"/>
    <mergeCell ref="A12:M12"/>
    <mergeCell ref="A13:M13"/>
    <mergeCell ref="A14:B15"/>
    <mergeCell ref="C14:C15"/>
    <mergeCell ref="D14:F14"/>
    <mergeCell ref="G14:J14"/>
    <mergeCell ref="K14:L14"/>
    <mergeCell ref="D15:J15"/>
    <mergeCell ref="K15:M15"/>
    <mergeCell ref="A11:F11"/>
    <mergeCell ref="G11:H11"/>
    <mergeCell ref="J11:M11"/>
    <mergeCell ref="D24:F24"/>
    <mergeCell ref="G24:H24"/>
    <mergeCell ref="K24:M24"/>
    <mergeCell ref="D25:F25"/>
    <mergeCell ref="G25:H25"/>
    <mergeCell ref="I25:M25"/>
    <mergeCell ref="A22:A23"/>
    <mergeCell ref="B22:B23"/>
    <mergeCell ref="C22:C23"/>
    <mergeCell ref="D22:F23"/>
    <mergeCell ref="G22:H23"/>
    <mergeCell ref="I22:M22"/>
    <mergeCell ref="K23:M23"/>
    <mergeCell ref="K31:M31"/>
    <mergeCell ref="D32:F32"/>
    <mergeCell ref="G32:H32"/>
    <mergeCell ref="K32:M32"/>
    <mergeCell ref="D33:F33"/>
    <mergeCell ref="G33:H33"/>
    <mergeCell ref="K33:M33"/>
    <mergeCell ref="D26:M26"/>
    <mergeCell ref="A27:M27"/>
    <mergeCell ref="A28:M28"/>
    <mergeCell ref="A29:M29"/>
    <mergeCell ref="A30:A31"/>
    <mergeCell ref="B30:B31"/>
    <mergeCell ref="C30:C31"/>
    <mergeCell ref="D30:F31"/>
    <mergeCell ref="G30:H31"/>
    <mergeCell ref="I30:M30"/>
    <mergeCell ref="D36:F36"/>
    <mergeCell ref="G36:H36"/>
    <mergeCell ref="K36:M36"/>
    <mergeCell ref="D37:G37"/>
    <mergeCell ref="A38:M38"/>
    <mergeCell ref="A39:M39"/>
    <mergeCell ref="D34:F34"/>
    <mergeCell ref="G34:H34"/>
    <mergeCell ref="K34:M34"/>
    <mergeCell ref="D35:F35"/>
    <mergeCell ref="G35:H35"/>
    <mergeCell ref="K35:M35"/>
    <mergeCell ref="D43:G43"/>
    <mergeCell ref="H43:I43"/>
    <mergeCell ref="J43:M43"/>
    <mergeCell ref="D44:G44"/>
    <mergeCell ref="H44:I44"/>
    <mergeCell ref="J44:M44"/>
    <mergeCell ref="A40:M40"/>
    <mergeCell ref="D41:G41"/>
    <mergeCell ref="H41:I41"/>
    <mergeCell ref="J41:M41"/>
    <mergeCell ref="D42:G42"/>
    <mergeCell ref="H42:I42"/>
    <mergeCell ref="J42:M42"/>
    <mergeCell ref="D47:M47"/>
    <mergeCell ref="A48:M48"/>
    <mergeCell ref="A49:M49"/>
    <mergeCell ref="A50:M50"/>
    <mergeCell ref="D51:M51"/>
    <mergeCell ref="D52:M52"/>
    <mergeCell ref="D45:G45"/>
    <mergeCell ref="H45:I45"/>
    <mergeCell ref="J45:M45"/>
    <mergeCell ref="D46:G46"/>
    <mergeCell ref="H46:I46"/>
    <mergeCell ref="J46:M46"/>
    <mergeCell ref="A59:M59"/>
    <mergeCell ref="A60:M60"/>
    <mergeCell ref="A61:A62"/>
    <mergeCell ref="B61:B62"/>
    <mergeCell ref="C61:C62"/>
    <mergeCell ref="D61:F62"/>
    <mergeCell ref="G61:M62"/>
    <mergeCell ref="D53:M53"/>
    <mergeCell ref="D54:M54"/>
    <mergeCell ref="D55:M55"/>
    <mergeCell ref="D56:M56"/>
    <mergeCell ref="D57:M57"/>
    <mergeCell ref="A58:M58"/>
    <mergeCell ref="A67:M67"/>
    <mergeCell ref="A68:M68"/>
    <mergeCell ref="A69:E69"/>
    <mergeCell ref="A70:E70"/>
    <mergeCell ref="D63:F63"/>
    <mergeCell ref="G63:M63"/>
    <mergeCell ref="D64:F64"/>
    <mergeCell ref="G64:M64"/>
    <mergeCell ref="D65:M65"/>
    <mergeCell ref="A66:M66"/>
    <mergeCell ref="H69:M69"/>
    <mergeCell ref="H70:M70"/>
    <mergeCell ref="C77:D77"/>
    <mergeCell ref="E77:F77"/>
    <mergeCell ref="G77:M77"/>
    <mergeCell ref="A71:E71"/>
    <mergeCell ref="A72:E72"/>
    <mergeCell ref="G72:M72"/>
    <mergeCell ref="A73:M73"/>
    <mergeCell ref="A74:M74"/>
    <mergeCell ref="H71:M71"/>
    <mergeCell ref="A75:M75"/>
    <mergeCell ref="C76:D76"/>
    <mergeCell ref="E76:F76"/>
    <mergeCell ref="G76:M76"/>
    <mergeCell ref="A90:M90"/>
    <mergeCell ref="A91:M91"/>
    <mergeCell ref="A84:M84"/>
    <mergeCell ref="A85:M85"/>
    <mergeCell ref="A86:M86"/>
    <mergeCell ref="A87:M87"/>
    <mergeCell ref="A88:M88"/>
    <mergeCell ref="A89:M89"/>
    <mergeCell ref="A78:M78"/>
    <mergeCell ref="A79:M79"/>
    <mergeCell ref="A80:M80"/>
    <mergeCell ref="A81:M81"/>
    <mergeCell ref="A82:M82"/>
    <mergeCell ref="A83:M83"/>
  </mergeCells>
  <conditionalFormatting sqref="I11">
    <cfRule type="cellIs" dxfId="11" priority="2" operator="equal">
      <formula>"Not Met"</formula>
    </cfRule>
    <cfRule type="containsBlanks" dxfId="10" priority="3">
      <formula>LEN(TRIM(I11))=0</formula>
    </cfRule>
    <cfRule type="cellIs" dxfId="9" priority="5" operator="equal">
      <formula>"No"</formula>
    </cfRule>
  </conditionalFormatting>
  <conditionalFormatting sqref="J11">
    <cfRule type="expression" dxfId="8" priority="1">
      <formula>IF(I11="Yes",TRUE())</formula>
    </cfRule>
  </conditionalFormatting>
  <dataValidations count="5">
    <dataValidation type="list" allowBlank="1" showInputMessage="1" showErrorMessage="1" sqref="C14:C15 I11" xr:uid="{00000000-0002-0000-0600-000000000000}">
      <formula1>YesOrNo</formula1>
    </dataValidation>
    <dataValidation type="list" allowBlank="1" showInputMessage="1" showErrorMessage="1" sqref="A77" xr:uid="{00000000-0002-0000-0600-000001000000}">
      <formula1>"Yes, No"</formula1>
    </dataValidation>
    <dataValidation type="list" allowBlank="1" showInputMessage="1" showErrorMessage="1" sqref="M14" xr:uid="{00000000-0002-0000-0600-000002000000}">
      <formula1>PointList34</formula1>
    </dataValidation>
    <dataValidation type="list" allowBlank="1" showInputMessage="1" showErrorMessage="1" sqref="G14:J14" xr:uid="{00000000-0002-0000-0600-000003000000}">
      <formula1>PointList33</formula1>
    </dataValidation>
    <dataValidation type="whole" allowBlank="1" showInputMessage="1" showErrorMessage="1" error="Enter each showerhead on a different line.  A quantity greater than 1 is not allowed._x000a_" sqref="A32" xr:uid="{00000000-0002-0000-0600-000004000000}">
      <formula1>0</formula1>
      <formula2>1</formula2>
    </dataValidation>
  </dataValidations>
  <printOptions horizontalCentered="1"/>
  <pageMargins left="0.5" right="0.5" top="0.75" bottom="0.75" header="0.3" footer="0.3"/>
  <pageSetup scale="50" fitToHeight="2" orientation="portrait" r:id="rId1"/>
  <headerFooter>
    <oddHeader>&amp;L&amp;F&amp;R&amp;A</oddHead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pageSetUpPr fitToPage="1"/>
  </sheetPr>
  <dimension ref="A1:W40"/>
  <sheetViews>
    <sheetView zoomScale="95" zoomScaleNormal="95" workbookViewId="0">
      <selection activeCell="H156" sqref="H156"/>
    </sheetView>
  </sheetViews>
  <sheetFormatPr defaultColWidth="8.7109375" defaultRowHeight="15" x14ac:dyDescent="0.25"/>
  <cols>
    <col min="1" max="1" width="4.7109375" style="107" customWidth="1"/>
    <col min="2" max="2" width="18.28515625" style="107" customWidth="1"/>
    <col min="3" max="3" width="10.7109375" style="107" customWidth="1"/>
    <col min="4" max="5" width="7.7109375" style="107" customWidth="1"/>
    <col min="6" max="6" width="16.28515625" style="107" customWidth="1"/>
    <col min="7" max="9" width="10.28515625" style="107" customWidth="1"/>
    <col min="10" max="11" width="9.7109375" style="107" hidden="1" customWidth="1"/>
    <col min="12" max="12" width="10.7109375" style="107" hidden="1" customWidth="1"/>
    <col min="13" max="13" width="8.7109375" style="107" hidden="1" customWidth="1"/>
    <col min="14" max="14" width="10" style="107" hidden="1" customWidth="1"/>
    <col min="15" max="15" width="8.7109375" style="107" hidden="1" customWidth="1"/>
    <col min="16" max="16" width="10.28515625" style="107" hidden="1" customWidth="1"/>
    <col min="17" max="17" width="8.7109375" style="107" hidden="1" customWidth="1"/>
    <col min="18" max="18" width="10.7109375" style="107" customWidth="1"/>
    <col min="19" max="19" width="10.7109375" customWidth="1"/>
    <col min="20" max="20" width="10" style="107" hidden="1" customWidth="1"/>
    <col min="21" max="21" width="8.7109375" hidden="1" customWidth="1"/>
    <col min="22" max="22" width="11.7109375" customWidth="1"/>
    <col min="23" max="23" width="40.7109375" style="107" customWidth="1"/>
    <col min="24" max="16384" width="8.7109375" style="107"/>
  </cols>
  <sheetData>
    <row r="1" spans="1:23" customFormat="1" ht="15" customHeight="1" x14ac:dyDescent="0.25">
      <c r="A1" s="1606"/>
      <c r="B1" s="1432"/>
      <c r="C1" s="1432"/>
      <c r="D1" s="1432"/>
      <c r="E1" s="1607">
        <f>VersionNo.</f>
        <v>2024.08</v>
      </c>
      <c r="F1" s="1600" t="str">
        <f>IF(OR('4 Scoring &amp; Verification'!M118="Yes",'4 Scoring &amp; Verification'!M119="Yes"),"DO NOT complete this sheet since the project was certifed using the WERS or EPA WaterSense program(s)","")</f>
        <v/>
      </c>
      <c r="G1" s="1601"/>
      <c r="H1" s="1601"/>
      <c r="I1" s="1601"/>
      <c r="J1" s="1601"/>
      <c r="K1" s="1601"/>
      <c r="L1" s="1601"/>
      <c r="M1" s="1601"/>
      <c r="N1" s="1601"/>
      <c r="O1" s="1601"/>
      <c r="P1" s="1601"/>
      <c r="Q1" s="1601"/>
      <c r="R1" s="1601"/>
      <c r="S1" s="1602"/>
      <c r="T1" s="1593" t="s">
        <v>312</v>
      </c>
      <c r="U1" s="1593" t="s">
        <v>312</v>
      </c>
      <c r="V1" s="1587" t="s">
        <v>1365</v>
      </c>
      <c r="W1" s="1588"/>
    </row>
    <row r="2" spans="1:23" customFormat="1" ht="15" customHeight="1" x14ac:dyDescent="0.25">
      <c r="A2" s="926"/>
      <c r="B2" s="706"/>
      <c r="C2" s="706"/>
      <c r="D2" s="706"/>
      <c r="E2" s="1608"/>
      <c r="F2" s="1603"/>
      <c r="G2" s="1604"/>
      <c r="H2" s="1604"/>
      <c r="I2" s="1604"/>
      <c r="J2" s="1604"/>
      <c r="K2" s="1604"/>
      <c r="L2" s="1604"/>
      <c r="M2" s="1604"/>
      <c r="N2" s="1604"/>
      <c r="O2" s="1604"/>
      <c r="P2" s="1604"/>
      <c r="Q2" s="1604"/>
      <c r="R2" s="1604"/>
      <c r="S2" s="1605"/>
      <c r="T2" s="1594"/>
      <c r="U2" s="1594"/>
      <c r="V2" s="1589"/>
      <c r="W2" s="1590"/>
    </row>
    <row r="3" spans="1:23" customFormat="1" ht="15" customHeight="1" x14ac:dyDescent="0.25">
      <c r="A3" s="926"/>
      <c r="B3" s="706"/>
      <c r="C3" s="706"/>
      <c r="D3" s="706"/>
      <c r="E3" s="1608"/>
      <c r="F3" s="1603"/>
      <c r="G3" s="1604"/>
      <c r="H3" s="1604"/>
      <c r="I3" s="1604"/>
      <c r="J3" s="1604"/>
      <c r="K3" s="1604"/>
      <c r="L3" s="1604"/>
      <c r="M3" s="1604"/>
      <c r="N3" s="1604"/>
      <c r="O3" s="1604"/>
      <c r="P3" s="1604"/>
      <c r="Q3" s="1604"/>
      <c r="R3" s="1604"/>
      <c r="S3" s="1605"/>
      <c r="T3" s="1594"/>
      <c r="U3" s="1594"/>
      <c r="V3" s="1589"/>
      <c r="W3" s="1590"/>
    </row>
    <row r="4" spans="1:23" customFormat="1" ht="15" customHeight="1" x14ac:dyDescent="0.25">
      <c r="A4" s="926"/>
      <c r="B4" s="706"/>
      <c r="C4" s="706"/>
      <c r="D4" s="706"/>
      <c r="E4" s="1608"/>
      <c r="F4" s="1603"/>
      <c r="G4" s="1604"/>
      <c r="H4" s="1604"/>
      <c r="I4" s="1604"/>
      <c r="J4" s="1604"/>
      <c r="K4" s="1604"/>
      <c r="L4" s="1604"/>
      <c r="M4" s="1604"/>
      <c r="N4" s="1604"/>
      <c r="O4" s="1604"/>
      <c r="P4" s="1604"/>
      <c r="Q4" s="1604"/>
      <c r="R4" s="1604"/>
      <c r="S4" s="1605"/>
      <c r="T4" s="1594"/>
      <c r="U4" s="1594"/>
      <c r="V4" s="1589"/>
      <c r="W4" s="1590"/>
    </row>
    <row r="5" spans="1:23" customFormat="1" ht="15" customHeight="1" x14ac:dyDescent="0.25">
      <c r="A5" s="838"/>
      <c r="B5" s="839"/>
      <c r="C5" s="839"/>
      <c r="D5" s="839"/>
      <c r="E5" s="1576"/>
      <c r="F5" s="483"/>
      <c r="G5" s="484"/>
      <c r="H5" s="484"/>
      <c r="I5" s="484"/>
      <c r="J5" s="484"/>
      <c r="K5" s="484"/>
      <c r="L5" s="484"/>
      <c r="M5" s="484"/>
      <c r="N5" s="484"/>
      <c r="O5" s="484"/>
      <c r="P5" s="484"/>
      <c r="Q5" s="484"/>
      <c r="R5" s="484"/>
      <c r="S5" s="485"/>
      <c r="T5" s="1595"/>
      <c r="U5" s="1595"/>
      <c r="V5" s="1591"/>
      <c r="W5" s="1592"/>
    </row>
    <row r="6" spans="1:23" customFormat="1" ht="15" customHeight="1" x14ac:dyDescent="0.25">
      <c r="A6" s="1609" t="s">
        <v>91</v>
      </c>
      <c r="B6" s="1610"/>
      <c r="C6" s="1611" t="str">
        <f>IF('3 Project Information'!E7="","",'3 Project Information'!E7)</f>
        <v/>
      </c>
      <c r="D6" s="1612"/>
      <c r="E6" s="1612"/>
      <c r="F6" s="1612"/>
      <c r="G6" s="1613"/>
      <c r="H6" s="522" t="str">
        <f>IF(Bedrooms&gt;0,"","Number of bedrooms must be entered on '2 Project Information' tab before this sheet will tabulate properly.")</f>
        <v>Number of bedrooms must be entered on '2 Project Information' tab before this sheet will tabulate properly.</v>
      </c>
      <c r="I6" s="1614"/>
      <c r="J6" s="1614"/>
      <c r="K6" s="1614"/>
      <c r="L6" s="1614"/>
      <c r="M6" s="1614"/>
      <c r="N6" s="1614"/>
      <c r="O6" s="1614"/>
      <c r="P6" s="1614"/>
      <c r="Q6" s="1614"/>
      <c r="R6" s="1614"/>
      <c r="S6" s="1614"/>
      <c r="T6" s="1614"/>
      <c r="U6" s="1614"/>
      <c r="V6" s="1614"/>
      <c r="W6" s="1615"/>
    </row>
    <row r="7" spans="1:23" customFormat="1" ht="15" customHeight="1" x14ac:dyDescent="0.25">
      <c r="A7" s="1622" t="s">
        <v>1366</v>
      </c>
      <c r="B7" s="1623"/>
      <c r="C7" s="1626" t="str">
        <f>IF('3 Project Information'!E8="","",'3 Project Information'!E8)</f>
        <v/>
      </c>
      <c r="D7" s="1538"/>
      <c r="E7" s="1538"/>
      <c r="F7" s="1538"/>
      <c r="G7" s="1539"/>
      <c r="H7" s="1616"/>
      <c r="I7" s="1617"/>
      <c r="J7" s="1617"/>
      <c r="K7" s="1617"/>
      <c r="L7" s="1617"/>
      <c r="M7" s="1617"/>
      <c r="N7" s="1617"/>
      <c r="O7" s="1617"/>
      <c r="P7" s="1617"/>
      <c r="Q7" s="1617"/>
      <c r="R7" s="1617"/>
      <c r="S7" s="1617"/>
      <c r="T7" s="1617"/>
      <c r="U7" s="1617"/>
      <c r="V7" s="1617"/>
      <c r="W7" s="1618"/>
    </row>
    <row r="8" spans="1:23" customFormat="1" ht="15" customHeight="1" x14ac:dyDescent="0.25">
      <c r="A8" s="1624"/>
      <c r="B8" s="1625"/>
      <c r="C8" s="1627" t="str">
        <f>IF('3 Project Information'!E9="","",'3 Project Information'!E9)</f>
        <v/>
      </c>
      <c r="D8" s="1475"/>
      <c r="E8" s="1475"/>
      <c r="F8" s="1475"/>
      <c r="G8" s="1476"/>
      <c r="H8" s="1619"/>
      <c r="I8" s="1620"/>
      <c r="J8" s="1620"/>
      <c r="K8" s="1620"/>
      <c r="L8" s="1620"/>
      <c r="M8" s="1620"/>
      <c r="N8" s="1620"/>
      <c r="O8" s="1620"/>
      <c r="P8" s="1620"/>
      <c r="Q8" s="1620"/>
      <c r="R8" s="1620"/>
      <c r="S8" s="1620"/>
      <c r="T8" s="1620"/>
      <c r="U8" s="1620"/>
      <c r="V8" s="1620"/>
      <c r="W8" s="1621"/>
    </row>
    <row r="9" spans="1:23" ht="15.75" x14ac:dyDescent="0.25">
      <c r="A9" s="1577" t="s">
        <v>313</v>
      </c>
      <c r="B9" s="1578"/>
      <c r="C9" s="1578"/>
      <c r="D9" s="1578"/>
      <c r="E9" s="1578"/>
      <c r="F9" s="1578"/>
      <c r="G9" s="1578"/>
      <c r="H9" s="1578"/>
      <c r="I9" s="1578"/>
      <c r="J9" s="1578"/>
      <c r="K9" s="1578"/>
      <c r="L9" s="1578"/>
      <c r="M9" s="1578"/>
      <c r="N9" s="1578"/>
      <c r="O9" s="1578"/>
      <c r="P9" s="1578"/>
      <c r="Q9" s="1578"/>
      <c r="R9" s="1578"/>
      <c r="S9" s="1578"/>
      <c r="T9" s="1578"/>
      <c r="U9" s="1578"/>
      <c r="V9" s="1578"/>
      <c r="W9" s="1579"/>
    </row>
    <row r="10" spans="1:23" x14ac:dyDescent="0.25">
      <c r="A10" s="1088"/>
      <c r="B10" s="1575" t="s">
        <v>314</v>
      </c>
      <c r="C10" s="1575" t="s">
        <v>315</v>
      </c>
      <c r="D10" s="1575" t="s">
        <v>316</v>
      </c>
      <c r="E10" s="1575" t="s">
        <v>317</v>
      </c>
      <c r="F10" s="1575" t="s">
        <v>318</v>
      </c>
      <c r="G10" s="1575" t="s">
        <v>319</v>
      </c>
      <c r="H10" s="1580" t="s">
        <v>320</v>
      </c>
      <c r="I10" s="1576"/>
      <c r="J10" s="1581" t="s">
        <v>321</v>
      </c>
      <c r="K10" s="1581" t="s">
        <v>322</v>
      </c>
      <c r="L10" s="330" t="s">
        <v>323</v>
      </c>
      <c r="M10" s="1584" t="s">
        <v>324</v>
      </c>
      <c r="N10" s="1584"/>
      <c r="O10" s="1581" t="s">
        <v>325</v>
      </c>
      <c r="P10" s="1581" t="s">
        <v>326</v>
      </c>
      <c r="Q10" s="1581" t="s">
        <v>327</v>
      </c>
      <c r="R10" s="1575" t="s">
        <v>328</v>
      </c>
      <c r="S10" s="1596" t="s">
        <v>329</v>
      </c>
      <c r="T10" s="1581" t="s">
        <v>330</v>
      </c>
      <c r="U10" s="1581" t="s">
        <v>331</v>
      </c>
      <c r="V10" s="1598" t="s">
        <v>332</v>
      </c>
      <c r="W10" s="1575" t="s">
        <v>333</v>
      </c>
    </row>
    <row r="11" spans="1:23" ht="76.5" x14ac:dyDescent="0.2">
      <c r="A11" s="1111"/>
      <c r="B11" s="1576"/>
      <c r="C11" s="1576"/>
      <c r="D11" s="1576"/>
      <c r="E11" s="1576"/>
      <c r="F11" s="1576"/>
      <c r="G11" s="1576"/>
      <c r="H11" s="331" t="s">
        <v>334</v>
      </c>
      <c r="I11" s="331" t="s">
        <v>335</v>
      </c>
      <c r="J11" s="1582"/>
      <c r="K11" s="1583"/>
      <c r="L11" s="332" t="s">
        <v>336</v>
      </c>
      <c r="M11" s="332" t="s">
        <v>337</v>
      </c>
      <c r="N11" s="332" t="s">
        <v>338</v>
      </c>
      <c r="O11" s="1585"/>
      <c r="P11" s="1586"/>
      <c r="Q11" s="1585"/>
      <c r="R11" s="1576"/>
      <c r="S11" s="1597"/>
      <c r="T11" s="1576"/>
      <c r="U11" s="1576"/>
      <c r="V11" s="1599"/>
      <c r="W11" s="1576"/>
    </row>
    <row r="12" spans="1:23" x14ac:dyDescent="0.25">
      <c r="A12" s="333" t="s">
        <v>339</v>
      </c>
      <c r="B12" s="334" t="s">
        <v>340</v>
      </c>
      <c r="C12" s="335" t="s">
        <v>341</v>
      </c>
      <c r="D12" s="336">
        <f>'Indoor_Values_(HIDE)'!C4</f>
        <v>1.6</v>
      </c>
      <c r="E12" s="336">
        <f>'Indoor_Values_(HIDE)'!C19</f>
        <v>1.28</v>
      </c>
      <c r="F12" s="18"/>
      <c r="G12" s="19"/>
      <c r="H12" s="337"/>
      <c r="I12" s="337"/>
      <c r="J12" s="338">
        <v>1</v>
      </c>
      <c r="K12" s="339">
        <f>IF(G12="Yes",J12,0)</f>
        <v>0</v>
      </c>
      <c r="L12" s="340">
        <f>Bedrooms+1</f>
        <v>1</v>
      </c>
      <c r="M12" s="341"/>
      <c r="N12" s="341">
        <f>'Indoor_Values_(HIDE)'!E4</f>
        <v>5</v>
      </c>
      <c r="O12" s="342">
        <f>(D12*K12)*(L12*N12)</f>
        <v>0</v>
      </c>
      <c r="P12" s="342">
        <f>(E12*K12)*(L12*N12)</f>
        <v>0</v>
      </c>
      <c r="Q12" s="342">
        <f>(F12*K12)*(L12*N12)</f>
        <v>0</v>
      </c>
      <c r="R12" s="343">
        <f>O12-Q12</f>
        <v>0</v>
      </c>
      <c r="S12" s="344">
        <f>IF(O12=0, 0,(R12/O12))</f>
        <v>0</v>
      </c>
      <c r="T12" s="345">
        <f>'Indoor_Values_(HIDE)'!C34</f>
        <v>0.26700000000000002</v>
      </c>
      <c r="U12" s="346" t="e">
        <f t="shared" ref="U12:U19" si="0">Q12/PA_Daily_Use</f>
        <v>#DIV/0!</v>
      </c>
      <c r="V12" s="20"/>
      <c r="W12" s="21"/>
    </row>
    <row r="13" spans="1:23" x14ac:dyDescent="0.25">
      <c r="A13" s="333" t="s">
        <v>342</v>
      </c>
      <c r="B13" s="334" t="s">
        <v>343</v>
      </c>
      <c r="C13" s="335" t="s">
        <v>344</v>
      </c>
      <c r="D13" s="336">
        <f>'Indoor_Values_(HIDE)'!C6</f>
        <v>2.5</v>
      </c>
      <c r="E13" s="336">
        <f>'Indoor_Values_(HIDE)'!C21</f>
        <v>2</v>
      </c>
      <c r="F13" s="18"/>
      <c r="G13" s="19"/>
      <c r="H13" s="22"/>
      <c r="I13" s="22"/>
      <c r="J13" s="338">
        <v>1</v>
      </c>
      <c r="K13" s="339">
        <f t="shared" ref="K13:K18" si="1">IF(G13="Yes",J13,0)</f>
        <v>0</v>
      </c>
      <c r="L13" s="340">
        <f>Bedrooms+1</f>
        <v>1</v>
      </c>
      <c r="M13" s="341">
        <f>'Indoor_Values_(HIDE)'!D6/60</f>
        <v>5</v>
      </c>
      <c r="N13" s="341">
        <f>'Indoor_Values_(HIDE)'!E6</f>
        <v>1</v>
      </c>
      <c r="O13" s="342">
        <f>(D13*K13)*M13*(L13*N13)</f>
        <v>0</v>
      </c>
      <c r="P13" s="342">
        <f>(E13*K13)*M13*(L13*N13)</f>
        <v>0</v>
      </c>
      <c r="Q13" s="342">
        <f>(F13*K13)*M13*(L13*N13)</f>
        <v>0</v>
      </c>
      <c r="R13" s="343">
        <f t="shared" ref="R13:R19" si="2">O13-Q13</f>
        <v>0</v>
      </c>
      <c r="S13" s="344">
        <f>IF(O13=0, 0,(R13/O13))</f>
        <v>0</v>
      </c>
      <c r="T13" s="345">
        <f>'Indoor_Values_(HIDE)'!C36</f>
        <v>0.16800000000000001</v>
      </c>
      <c r="U13" s="346" t="e">
        <f t="shared" si="0"/>
        <v>#DIV/0!</v>
      </c>
      <c r="V13" s="20"/>
      <c r="W13" s="21"/>
    </row>
    <row r="14" spans="1:23" x14ac:dyDescent="0.25">
      <c r="A14" s="333" t="s">
        <v>345</v>
      </c>
      <c r="B14" s="334" t="s">
        <v>346</v>
      </c>
      <c r="C14" s="335" t="s">
        <v>347</v>
      </c>
      <c r="D14" s="1574" t="s">
        <v>348</v>
      </c>
      <c r="E14" s="727"/>
      <c r="F14" s="337"/>
      <c r="G14" s="19"/>
      <c r="H14" s="22"/>
      <c r="I14" s="22"/>
      <c r="J14" s="347"/>
      <c r="K14" s="348"/>
      <c r="L14" s="349"/>
      <c r="M14" s="336"/>
      <c r="N14" s="336"/>
      <c r="O14" s="350"/>
      <c r="P14" s="350"/>
      <c r="Q14" s="350"/>
      <c r="R14" s="343"/>
      <c r="S14" s="344"/>
      <c r="T14" s="345"/>
      <c r="U14" s="346"/>
      <c r="V14" s="351"/>
      <c r="W14" s="352"/>
    </row>
    <row r="15" spans="1:23" ht="24" x14ac:dyDescent="0.25">
      <c r="A15" s="333" t="s">
        <v>349</v>
      </c>
      <c r="B15" s="334" t="s">
        <v>350</v>
      </c>
      <c r="C15" s="335" t="s">
        <v>351</v>
      </c>
      <c r="D15" s="336">
        <f>'Indoor_Values_(HIDE)'!C8</f>
        <v>2.2000000000000002</v>
      </c>
      <c r="E15" s="336">
        <f>'Indoor_Values_(HIDE)'!C23</f>
        <v>1.5</v>
      </c>
      <c r="F15" s="18"/>
      <c r="G15" s="19"/>
      <c r="H15" s="22"/>
      <c r="I15" s="22"/>
      <c r="J15" s="338">
        <v>1</v>
      </c>
      <c r="K15" s="339">
        <f t="shared" si="1"/>
        <v>0</v>
      </c>
      <c r="L15" s="340">
        <f>Bedrooms+1</f>
        <v>1</v>
      </c>
      <c r="M15" s="341">
        <f>'Indoor_Values_(HIDE)'!D8/60</f>
        <v>0.25</v>
      </c>
      <c r="N15" s="341">
        <f>'Indoor_Values_(HIDE)'!E8</f>
        <v>5</v>
      </c>
      <c r="O15" s="342">
        <f>(D15*K15)*M15*(L15*N15)</f>
        <v>0</v>
      </c>
      <c r="P15" s="342">
        <f>(E15*K15)*M15*(L15*N15)</f>
        <v>0</v>
      </c>
      <c r="Q15" s="342">
        <f>(F15*K15)*M15*(L15*N15)</f>
        <v>0</v>
      </c>
      <c r="R15" s="343">
        <f t="shared" si="2"/>
        <v>0</v>
      </c>
      <c r="S15" s="344">
        <f t="shared" ref="S15:S20" si="3">IF(O15=0, 0,(R15/O15))</f>
        <v>0</v>
      </c>
      <c r="T15" s="345">
        <f>'Indoor_Values_(HIDE)'!C38</f>
        <v>7.6999999999999999E-2</v>
      </c>
      <c r="U15" s="346" t="e">
        <f t="shared" si="0"/>
        <v>#DIV/0!</v>
      </c>
      <c r="V15" s="20"/>
      <c r="W15" s="21"/>
    </row>
    <row r="16" spans="1:23" ht="24" x14ac:dyDescent="0.25">
      <c r="A16" s="333" t="s">
        <v>352</v>
      </c>
      <c r="B16" s="334" t="s">
        <v>353</v>
      </c>
      <c r="C16" s="335" t="s">
        <v>354</v>
      </c>
      <c r="D16" s="336">
        <f>'Indoor_Values_(HIDE)'!C9</f>
        <v>2.2000000000000002</v>
      </c>
      <c r="E16" s="336">
        <f>'Indoor_Values_(HIDE)'!C24</f>
        <v>2.2000000000000002</v>
      </c>
      <c r="F16" s="18"/>
      <c r="G16" s="19"/>
      <c r="H16" s="337"/>
      <c r="I16" s="337"/>
      <c r="J16" s="338">
        <v>1</v>
      </c>
      <c r="K16" s="339">
        <f t="shared" si="1"/>
        <v>0</v>
      </c>
      <c r="L16" s="340">
        <f>Bedrooms+1</f>
        <v>1</v>
      </c>
      <c r="M16" s="341">
        <f>'Indoor_Values_(HIDE)'!D9/60</f>
        <v>1</v>
      </c>
      <c r="N16" s="341">
        <f>'Indoor_Values_(HIDE)'!E9</f>
        <v>1</v>
      </c>
      <c r="O16" s="342">
        <f>(D16*K16)*M16*(L16*N16)</f>
        <v>0</v>
      </c>
      <c r="P16" s="342">
        <f>(E16*K16)*M16*(L16*N16)</f>
        <v>0</v>
      </c>
      <c r="Q16" s="342">
        <f>(F16*K16)*M16*(L16*N16)</f>
        <v>0</v>
      </c>
      <c r="R16" s="343">
        <f t="shared" si="2"/>
        <v>0</v>
      </c>
      <c r="S16" s="344">
        <f t="shared" si="3"/>
        <v>0</v>
      </c>
      <c r="T16" s="345">
        <f>'Indoor_Values_(HIDE)'!C39</f>
        <v>0.08</v>
      </c>
      <c r="U16" s="346" t="e">
        <f t="shared" si="0"/>
        <v>#DIV/0!</v>
      </c>
      <c r="V16" s="20"/>
      <c r="W16" s="21"/>
    </row>
    <row r="17" spans="1:23" ht="15" customHeight="1" x14ac:dyDescent="0.25">
      <c r="A17" s="333" t="s">
        <v>355</v>
      </c>
      <c r="B17" s="334" t="s">
        <v>356</v>
      </c>
      <c r="C17" s="335" t="s">
        <v>357</v>
      </c>
      <c r="D17" s="336">
        <f>'Indoor_Values_(HIDE)'!C10</f>
        <v>6.5</v>
      </c>
      <c r="E17" s="336">
        <f>'Indoor_Values_(HIDE)'!C25</f>
        <v>4.25</v>
      </c>
      <c r="F17" s="18"/>
      <c r="G17" s="19"/>
      <c r="H17" s="337"/>
      <c r="I17" s="337"/>
      <c r="J17" s="338">
        <v>1</v>
      </c>
      <c r="K17" s="353">
        <f t="shared" si="1"/>
        <v>0</v>
      </c>
      <c r="L17" s="354"/>
      <c r="M17" s="354" t="s">
        <v>358</v>
      </c>
      <c r="N17" s="341">
        <f>'Indoor_Values_(HIDE)'!E25</f>
        <v>1</v>
      </c>
      <c r="O17" s="342">
        <f>(D17*K17)*N17</f>
        <v>0</v>
      </c>
      <c r="P17" s="342">
        <f>(E17*K17)*N17</f>
        <v>0</v>
      </c>
      <c r="Q17" s="342">
        <f>(F17*K17)*N17</f>
        <v>0</v>
      </c>
      <c r="R17" s="343">
        <f t="shared" si="2"/>
        <v>0</v>
      </c>
      <c r="S17" s="344">
        <f t="shared" si="3"/>
        <v>0</v>
      </c>
      <c r="T17" s="345">
        <f>'Indoor_Values_(HIDE)'!C40</f>
        <v>1.4E-2</v>
      </c>
      <c r="U17" s="346" t="e">
        <f t="shared" si="0"/>
        <v>#DIV/0!</v>
      </c>
      <c r="V17" s="20"/>
      <c r="W17" s="21"/>
    </row>
    <row r="18" spans="1:23" ht="24" x14ac:dyDescent="0.25">
      <c r="A18" s="333" t="s">
        <v>359</v>
      </c>
      <c r="B18" s="334" t="s">
        <v>360</v>
      </c>
      <c r="C18" s="335" t="s">
        <v>361</v>
      </c>
      <c r="D18" s="336">
        <f>'Indoor_Values_(HIDE)'!C11</f>
        <v>9.5</v>
      </c>
      <c r="E18" s="336">
        <v>6.5</v>
      </c>
      <c r="F18" s="18"/>
      <c r="G18" s="19"/>
      <c r="H18" s="22"/>
      <c r="I18" s="22"/>
      <c r="J18" s="338">
        <v>1</v>
      </c>
      <c r="K18" s="339">
        <f t="shared" si="1"/>
        <v>0</v>
      </c>
      <c r="L18" s="340">
        <f>Bedrooms+1</f>
        <v>1</v>
      </c>
      <c r="M18" s="354"/>
      <c r="N18" s="341">
        <f>'Indoor_Values_(HIDE)'!E26</f>
        <v>0.2</v>
      </c>
      <c r="O18" s="342">
        <f>K18*L18*N18*'Indoor_Values_(HIDE)'!C12</f>
        <v>0</v>
      </c>
      <c r="P18" s="342">
        <f>(BGNMRequiredWasherWF/BaselineWasherWF)*(K18*L18*N18*'Indoor_Values_(HIDE)'!C12)</f>
        <v>0</v>
      </c>
      <c r="Q18" s="342">
        <f>(F18/BaselineWasherWF)*(K18*L18*N18*'Indoor_Values_(HIDE)'!C12)</f>
        <v>0</v>
      </c>
      <c r="R18" s="343">
        <f>O18-Q18</f>
        <v>0</v>
      </c>
      <c r="S18" s="344">
        <f t="shared" si="3"/>
        <v>0</v>
      </c>
      <c r="T18" s="345">
        <f>'Indoor_Values_(HIDE)'!C41</f>
        <v>0.217</v>
      </c>
      <c r="U18" s="346" t="e">
        <f>Q18/PA_Daily_Use</f>
        <v>#DIV/0!</v>
      </c>
      <c r="V18" s="20"/>
      <c r="W18" s="21"/>
    </row>
    <row r="19" spans="1:23" ht="24" x14ac:dyDescent="0.25">
      <c r="A19" s="333" t="s">
        <v>362</v>
      </c>
      <c r="B19" s="334" t="s">
        <v>363</v>
      </c>
      <c r="C19" s="335" t="s">
        <v>364</v>
      </c>
      <c r="D19" s="336">
        <f>'Indoor_Values_(HIDE)'!C13</f>
        <v>2</v>
      </c>
      <c r="E19" s="355">
        <f>'Indoor_Values_(HIDE)'!C27</f>
        <v>0.75</v>
      </c>
      <c r="F19" s="18"/>
      <c r="G19" s="356"/>
      <c r="H19" s="337"/>
      <c r="I19" s="337"/>
      <c r="J19" s="357"/>
      <c r="K19" s="358">
        <f>K13+K16</f>
        <v>0</v>
      </c>
      <c r="L19" s="359">
        <f>Bedrooms</f>
        <v>0</v>
      </c>
      <c r="M19" s="360"/>
      <c r="N19" s="361">
        <f>'Indoor_Values_(HIDE)'!E15</f>
        <v>4</v>
      </c>
      <c r="O19" s="362">
        <f>(D19*K19*N19)</f>
        <v>0</v>
      </c>
      <c r="P19" s="362">
        <f>(E19*K19*N19)</f>
        <v>0</v>
      </c>
      <c r="Q19" s="362">
        <f>(F19*K19*N19)</f>
        <v>0</v>
      </c>
      <c r="R19" s="343">
        <f t="shared" si="2"/>
        <v>0</v>
      </c>
      <c r="S19" s="344">
        <f t="shared" si="3"/>
        <v>0</v>
      </c>
      <c r="T19" s="363">
        <v>0.13700000000000001</v>
      </c>
      <c r="U19" s="346" t="e">
        <f t="shared" si="0"/>
        <v>#DIV/0!</v>
      </c>
      <c r="V19" s="20"/>
      <c r="W19" s="21"/>
    </row>
    <row r="20" spans="1:23" customFormat="1" ht="24" x14ac:dyDescent="0.25">
      <c r="A20" s="364" t="s">
        <v>365</v>
      </c>
      <c r="B20" s="365" t="s">
        <v>366</v>
      </c>
      <c r="C20" s="366" t="s">
        <v>367</v>
      </c>
      <c r="D20" s="367">
        <v>0</v>
      </c>
      <c r="E20" s="368">
        <v>0</v>
      </c>
      <c r="F20" s="23"/>
      <c r="G20" s="24"/>
      <c r="H20" s="369"/>
      <c r="I20" s="369"/>
      <c r="J20" s="370">
        <v>1</v>
      </c>
      <c r="K20" s="371">
        <f>IF(G20="Yes",J20,0)</f>
        <v>0</v>
      </c>
      <c r="L20" s="372"/>
      <c r="M20" s="373"/>
      <c r="N20" s="374"/>
      <c r="O20" s="375">
        <f>D20</f>
        <v>0</v>
      </c>
      <c r="P20" s="375">
        <f>E20</f>
        <v>0</v>
      </c>
      <c r="Q20" s="375">
        <f>-F20/365</f>
        <v>0</v>
      </c>
      <c r="R20" s="376">
        <f>O20-Q20</f>
        <v>0</v>
      </c>
      <c r="S20" s="377">
        <f t="shared" si="3"/>
        <v>0</v>
      </c>
      <c r="T20" s="378"/>
      <c r="U20" s="379" t="e">
        <f>Q20/PA_Daily_Use</f>
        <v>#DIV/0!</v>
      </c>
      <c r="V20" s="25"/>
      <c r="W20" s="26"/>
    </row>
    <row r="21" spans="1:23" x14ac:dyDescent="0.25">
      <c r="A21" s="1544" t="s">
        <v>368</v>
      </c>
      <c r="B21" s="1545"/>
      <c r="C21" s="1545"/>
      <c r="D21" s="1545"/>
      <c r="E21" s="1545"/>
      <c r="F21" s="1545"/>
      <c r="G21" s="1545"/>
      <c r="H21" s="1545"/>
      <c r="I21" s="1545"/>
      <c r="J21" s="1545"/>
      <c r="K21" s="1545"/>
      <c r="L21" s="1545"/>
      <c r="M21" s="1545"/>
      <c r="N21" s="1545"/>
      <c r="O21" s="380">
        <f>SUM(O12,O13,O15,O16,O17,O18,O19,O20)</f>
        <v>0</v>
      </c>
      <c r="P21" s="380">
        <f>SUM(P12,P13,P15,P16,P17,P18,P19,P20)</f>
        <v>0</v>
      </c>
      <c r="Q21" s="380">
        <f>SUM(Q12,Q13,Q15,Q16,Q17,Q18,Q19,Q20)</f>
        <v>0</v>
      </c>
      <c r="R21" s="380">
        <f>SUM(R12,R13,R15,R16,R17,R18,R19,R20)</f>
        <v>0</v>
      </c>
      <c r="S21" s="1546" t="s">
        <v>369</v>
      </c>
      <c r="T21" s="1547"/>
      <c r="U21" s="1547"/>
      <c r="V21" s="1547"/>
      <c r="W21" s="1548"/>
    </row>
    <row r="22" spans="1:23" customFormat="1" ht="15.75" thickBot="1" x14ac:dyDescent="0.3">
      <c r="A22" s="1555" t="s">
        <v>370</v>
      </c>
      <c r="B22" s="1556"/>
      <c r="C22" s="1556"/>
      <c r="D22" s="1556"/>
      <c r="E22" s="1556"/>
      <c r="F22" s="1556"/>
      <c r="G22" s="1556"/>
      <c r="H22" s="1556"/>
      <c r="I22" s="1557"/>
      <c r="J22" s="1558"/>
      <c r="K22" s="1559"/>
      <c r="L22" s="1559"/>
      <c r="M22" s="1559"/>
      <c r="N22" s="1559"/>
      <c r="O22" s="1559"/>
      <c r="P22" s="1559"/>
      <c r="Q22" s="1559"/>
      <c r="R22" s="1560" t="s">
        <v>371</v>
      </c>
      <c r="S22" s="1561"/>
      <c r="T22" s="1561"/>
      <c r="U22" s="1561"/>
      <c r="V22" s="1564" t="str">
        <f>IF(Bedrooms="","Bedrooms?",IF(O21=0,"",ROUND((Q21/O21)*100,0)))</f>
        <v>Bedrooms?</v>
      </c>
      <c r="W22" s="1566" t="str">
        <f>(IF( (AND(V12="Yes",V13="Yes",V15="Yes",V16="Yes",V17="Yes",V18="Yes",V19="Yes",V20="Yes"))=TRUE,"and is FINAL CONFIRMED.","but is NOT YET CONFIRMED."))</f>
        <v>but is NOT YET CONFIRMED.</v>
      </c>
    </row>
    <row r="23" spans="1:23" x14ac:dyDescent="0.25">
      <c r="A23" s="797"/>
      <c r="B23" s="798"/>
      <c r="C23" s="798"/>
      <c r="D23" s="798"/>
      <c r="E23" s="798"/>
      <c r="F23" s="798"/>
      <c r="G23" s="798"/>
      <c r="H23" s="798"/>
      <c r="I23" s="1436"/>
      <c r="R23" s="1562"/>
      <c r="S23" s="1563"/>
      <c r="T23" s="1563"/>
      <c r="U23" s="1563"/>
      <c r="V23" s="1565"/>
      <c r="W23" s="1567"/>
    </row>
    <row r="24" spans="1:23" ht="5.0999999999999996" customHeight="1" x14ac:dyDescent="0.25">
      <c r="A24" s="381"/>
      <c r="B24" s="382"/>
      <c r="C24" s="382"/>
      <c r="D24" s="382"/>
      <c r="E24" s="383"/>
      <c r="F24" s="383"/>
      <c r="G24" s="383"/>
      <c r="H24" s="383"/>
      <c r="I24" s="383"/>
      <c r="J24" s="383"/>
      <c r="K24" s="383"/>
      <c r="L24" s="383"/>
      <c r="M24" s="383"/>
      <c r="N24" s="383"/>
      <c r="O24" s="383"/>
      <c r="P24" s="383"/>
      <c r="Q24" s="383"/>
      <c r="R24" s="383"/>
      <c r="S24" s="383"/>
      <c r="T24" s="383"/>
      <c r="U24" s="383"/>
      <c r="V24" s="383"/>
      <c r="W24" s="384"/>
    </row>
    <row r="25" spans="1:23" ht="10.15" customHeight="1" x14ac:dyDescent="0.25">
      <c r="A25" s="385"/>
      <c r="B25" s="1549" t="s">
        <v>372</v>
      </c>
      <c r="C25" s="1549"/>
      <c r="D25" s="1549"/>
      <c r="E25" s="1549"/>
      <c r="F25" s="1551">
        <f>+R21</f>
        <v>0</v>
      </c>
      <c r="G25" s="1551"/>
      <c r="H25" s="386"/>
      <c r="I25" s="386"/>
      <c r="J25" s="387"/>
      <c r="K25" s="387"/>
      <c r="L25" s="387"/>
      <c r="M25" s="387"/>
      <c r="N25" s="387"/>
      <c r="O25" s="387"/>
      <c r="P25" s="387"/>
      <c r="Q25" s="387"/>
      <c r="R25" s="1549" t="s">
        <v>373</v>
      </c>
      <c r="S25" s="1549"/>
      <c r="T25" s="1549"/>
      <c r="U25" s="1549"/>
      <c r="V25" s="1549"/>
      <c r="W25" s="1553">
        <f>+R21*365</f>
        <v>0</v>
      </c>
    </row>
    <row r="26" spans="1:23" s="391" customFormat="1" ht="10.15" customHeight="1" x14ac:dyDescent="0.25">
      <c r="A26" s="388"/>
      <c r="B26" s="1550"/>
      <c r="C26" s="1550"/>
      <c r="D26" s="1550"/>
      <c r="E26" s="1550"/>
      <c r="F26" s="1552"/>
      <c r="G26" s="1552"/>
      <c r="H26" s="389"/>
      <c r="I26" s="389"/>
      <c r="J26" s="390"/>
      <c r="K26" s="390"/>
      <c r="L26" s="390"/>
      <c r="M26" s="390"/>
      <c r="N26" s="390"/>
      <c r="O26" s="390"/>
      <c r="P26" s="390"/>
      <c r="Q26" s="390"/>
      <c r="R26" s="1550"/>
      <c r="S26" s="1550"/>
      <c r="T26" s="1550"/>
      <c r="U26" s="1550"/>
      <c r="V26" s="1550"/>
      <c r="W26" s="1554"/>
    </row>
    <row r="27" spans="1:23" ht="15.75" x14ac:dyDescent="0.25">
      <c r="A27" s="1568" t="s">
        <v>374</v>
      </c>
      <c r="B27" s="1569"/>
      <c r="C27" s="1569"/>
      <c r="D27" s="1569"/>
      <c r="E27" s="1569"/>
      <c r="F27" s="1569"/>
      <c r="G27" s="1569"/>
      <c r="H27" s="1569"/>
      <c r="I27" s="1569"/>
      <c r="J27" s="1569"/>
      <c r="K27" s="1569"/>
      <c r="L27" s="1569"/>
      <c r="M27" s="1569"/>
      <c r="N27" s="1569"/>
      <c r="O27" s="1569"/>
      <c r="P27" s="1569"/>
      <c r="Q27" s="1569"/>
      <c r="R27" s="1569"/>
      <c r="S27" s="1569"/>
      <c r="T27" s="1569"/>
      <c r="U27" s="1569"/>
      <c r="V27" s="1569"/>
      <c r="W27" s="1570"/>
    </row>
    <row r="28" spans="1:23" customFormat="1" x14ac:dyDescent="0.25">
      <c r="A28" s="392" t="s">
        <v>138</v>
      </c>
      <c r="B28" s="1571" t="s">
        <v>375</v>
      </c>
      <c r="C28" s="1572"/>
      <c r="D28" s="1572"/>
      <c r="E28" s="1572"/>
      <c r="F28" s="1572"/>
      <c r="G28" s="1572"/>
      <c r="H28" s="1572"/>
      <c r="I28" s="1572"/>
      <c r="J28" s="1572"/>
      <c r="K28" s="1572"/>
      <c r="L28" s="1572"/>
      <c r="M28" s="1572"/>
      <c r="N28" s="1572"/>
      <c r="O28" s="1572"/>
      <c r="P28" s="1572"/>
      <c r="Q28" s="1572"/>
      <c r="R28" s="1572"/>
      <c r="S28" s="1572"/>
      <c r="T28" s="1572"/>
      <c r="U28" s="1572"/>
      <c r="V28" s="1572"/>
      <c r="W28" s="1573"/>
    </row>
    <row r="29" spans="1:23" customFormat="1" x14ac:dyDescent="0.25">
      <c r="A29" s="393" t="s">
        <v>139</v>
      </c>
      <c r="B29" s="1540" t="s">
        <v>376</v>
      </c>
      <c r="C29" s="1540"/>
      <c r="D29" s="1540"/>
      <c r="E29" s="1540"/>
      <c r="F29" s="1540"/>
      <c r="G29" s="1540"/>
      <c r="H29" s="1540"/>
      <c r="I29" s="1540"/>
      <c r="J29" s="1540"/>
      <c r="K29" s="1540"/>
      <c r="L29" s="1540"/>
      <c r="M29" s="1540"/>
      <c r="N29" s="1540"/>
      <c r="O29" s="1540"/>
      <c r="P29" s="1540"/>
      <c r="Q29" s="1540"/>
      <c r="R29" s="1540"/>
      <c r="S29" s="1540"/>
      <c r="T29" s="1540"/>
      <c r="U29" s="1540"/>
      <c r="V29" s="1540"/>
      <c r="W29" s="1541"/>
    </row>
    <row r="30" spans="1:23" customFormat="1" x14ac:dyDescent="0.25">
      <c r="A30" s="393" t="s">
        <v>140</v>
      </c>
      <c r="B30" s="1540" t="s">
        <v>377</v>
      </c>
      <c r="C30" s="1540"/>
      <c r="D30" s="1540"/>
      <c r="E30" s="1540"/>
      <c r="F30" s="1540"/>
      <c r="G30" s="1540"/>
      <c r="H30" s="1540"/>
      <c r="I30" s="1540"/>
      <c r="J30" s="1540"/>
      <c r="K30" s="1540"/>
      <c r="L30" s="1540"/>
      <c r="M30" s="1540"/>
      <c r="N30" s="1540"/>
      <c r="O30" s="1540"/>
      <c r="P30" s="1540"/>
      <c r="Q30" s="1540"/>
      <c r="R30" s="1540"/>
      <c r="S30" s="1540"/>
      <c r="T30" s="1540"/>
      <c r="U30" s="1540"/>
      <c r="V30" s="1540"/>
      <c r="W30" s="1541"/>
    </row>
    <row r="31" spans="1:23" customFormat="1" x14ac:dyDescent="0.25">
      <c r="A31" s="393" t="s">
        <v>180</v>
      </c>
      <c r="B31" s="1540" t="s">
        <v>378</v>
      </c>
      <c r="C31" s="1540"/>
      <c r="D31" s="1540"/>
      <c r="E31" s="1540"/>
      <c r="F31" s="1540"/>
      <c r="G31" s="1540"/>
      <c r="H31" s="1540"/>
      <c r="I31" s="1540"/>
      <c r="J31" s="1540"/>
      <c r="K31" s="1540"/>
      <c r="L31" s="1540"/>
      <c r="M31" s="1540"/>
      <c r="N31" s="1540"/>
      <c r="O31" s="1540"/>
      <c r="P31" s="1540"/>
      <c r="Q31" s="1540"/>
      <c r="R31" s="1540"/>
      <c r="S31" s="1540"/>
      <c r="T31" s="1540"/>
      <c r="U31" s="1540"/>
      <c r="V31" s="1540"/>
      <c r="W31" s="1541"/>
    </row>
    <row r="32" spans="1:23" customFormat="1" x14ac:dyDescent="0.25">
      <c r="A32" s="393" t="s">
        <v>141</v>
      </c>
      <c r="B32" s="1540" t="s">
        <v>379</v>
      </c>
      <c r="C32" s="1540"/>
      <c r="D32" s="1540"/>
      <c r="E32" s="1540"/>
      <c r="F32" s="1540"/>
      <c r="G32" s="1540"/>
      <c r="H32" s="1540"/>
      <c r="I32" s="1540"/>
      <c r="J32" s="1540"/>
      <c r="K32" s="1540"/>
      <c r="L32" s="1540"/>
      <c r="M32" s="1540"/>
      <c r="N32" s="1540"/>
      <c r="O32" s="1540"/>
      <c r="P32" s="1540"/>
      <c r="Q32" s="1540"/>
      <c r="R32" s="1540"/>
      <c r="S32" s="1540"/>
      <c r="T32" s="1540"/>
      <c r="U32" s="1540"/>
      <c r="V32" s="1540"/>
      <c r="W32" s="1541"/>
    </row>
    <row r="33" spans="1:23" customFormat="1" ht="28.9" customHeight="1" x14ac:dyDescent="0.25">
      <c r="A33" s="393" t="s">
        <v>357</v>
      </c>
      <c r="B33" s="1540" t="s">
        <v>380</v>
      </c>
      <c r="C33" s="1540"/>
      <c r="D33" s="1540"/>
      <c r="E33" s="1540"/>
      <c r="F33" s="1540"/>
      <c r="G33" s="1540"/>
      <c r="H33" s="1540"/>
      <c r="I33" s="1540"/>
      <c r="J33" s="1540"/>
      <c r="K33" s="1540"/>
      <c r="L33" s="1540"/>
      <c r="M33" s="1540"/>
      <c r="N33" s="1540"/>
      <c r="O33" s="1540"/>
      <c r="P33" s="1540"/>
      <c r="Q33" s="1540"/>
      <c r="R33" s="1540"/>
      <c r="S33" s="1540"/>
      <c r="T33" s="1540"/>
      <c r="U33" s="1540"/>
      <c r="V33" s="1540"/>
      <c r="W33" s="1541"/>
    </row>
    <row r="34" spans="1:23" customFormat="1" ht="42.75" customHeight="1" x14ac:dyDescent="0.25">
      <c r="A34" s="393" t="s">
        <v>361</v>
      </c>
      <c r="B34" s="1540" t="s">
        <v>871</v>
      </c>
      <c r="C34" s="1540"/>
      <c r="D34" s="1540"/>
      <c r="E34" s="1540"/>
      <c r="F34" s="1540"/>
      <c r="G34" s="1540"/>
      <c r="H34" s="1540"/>
      <c r="I34" s="1540"/>
      <c r="J34" s="1540"/>
      <c r="K34" s="1540"/>
      <c r="L34" s="1540"/>
      <c r="M34" s="1540"/>
      <c r="N34" s="1540"/>
      <c r="O34" s="1540"/>
      <c r="P34" s="1540"/>
      <c r="Q34" s="1540"/>
      <c r="R34" s="1540"/>
      <c r="S34" s="1540"/>
      <c r="T34" s="1540"/>
      <c r="U34" s="1540"/>
      <c r="V34" s="1540"/>
      <c r="W34" s="1541"/>
    </row>
    <row r="35" spans="1:23" customFormat="1" x14ac:dyDescent="0.25">
      <c r="A35" s="393" t="s">
        <v>364</v>
      </c>
      <c r="B35" s="1542" t="s">
        <v>381</v>
      </c>
      <c r="C35" s="1542"/>
      <c r="D35" s="1542"/>
      <c r="E35" s="1542"/>
      <c r="F35" s="1542"/>
      <c r="G35" s="1542"/>
      <c r="H35" s="1542"/>
      <c r="I35" s="1542"/>
      <c r="J35" s="1542"/>
      <c r="K35" s="1542"/>
      <c r="L35" s="1542"/>
      <c r="M35" s="1542"/>
      <c r="N35" s="1542"/>
      <c r="O35" s="1542"/>
      <c r="P35" s="1542"/>
      <c r="Q35" s="1542"/>
      <c r="R35" s="1542"/>
      <c r="S35" s="1542"/>
      <c r="T35" s="1542"/>
      <c r="U35" s="1542"/>
      <c r="V35" s="1542"/>
      <c r="W35" s="1543"/>
    </row>
    <row r="36" spans="1:23" customFormat="1" ht="58.9" customHeight="1" x14ac:dyDescent="0.25">
      <c r="A36" s="393"/>
      <c r="B36" s="394" t="s">
        <v>382</v>
      </c>
      <c r="C36" s="1540" t="s">
        <v>383</v>
      </c>
      <c r="D36" s="1540"/>
      <c r="E36" s="1540"/>
      <c r="F36" s="1540"/>
      <c r="G36" s="1540"/>
      <c r="H36" s="1540"/>
      <c r="I36" s="1540"/>
      <c r="J36" s="1540"/>
      <c r="K36" s="1540"/>
      <c r="L36" s="1540"/>
      <c r="M36" s="1540"/>
      <c r="N36" s="1540"/>
      <c r="O36" s="1540"/>
      <c r="P36" s="1540"/>
      <c r="Q36" s="1540"/>
      <c r="R36" s="1540"/>
      <c r="S36" s="1540"/>
      <c r="T36" s="1540"/>
      <c r="U36" s="1540"/>
      <c r="V36" s="1540"/>
      <c r="W36" s="1541"/>
    </row>
    <row r="37" spans="1:23" customFormat="1" ht="60.4" customHeight="1" x14ac:dyDescent="0.25">
      <c r="A37" s="393"/>
      <c r="B37" s="394" t="s">
        <v>384</v>
      </c>
      <c r="C37" s="1540" t="s">
        <v>385</v>
      </c>
      <c r="D37" s="1540"/>
      <c r="E37" s="1540"/>
      <c r="F37" s="1540"/>
      <c r="G37" s="1540"/>
      <c r="H37" s="1540"/>
      <c r="I37" s="1540"/>
      <c r="J37" s="1540"/>
      <c r="K37" s="1540"/>
      <c r="L37" s="1540"/>
      <c r="M37" s="1540"/>
      <c r="N37" s="1540"/>
      <c r="O37" s="1540"/>
      <c r="P37" s="1540"/>
      <c r="Q37" s="1540"/>
      <c r="R37" s="1540"/>
      <c r="S37" s="1540"/>
      <c r="T37" s="1540"/>
      <c r="U37" s="1540"/>
      <c r="V37" s="1540"/>
      <c r="W37" s="1541"/>
    </row>
    <row r="38" spans="1:23" customFormat="1" x14ac:dyDescent="0.25">
      <c r="A38" s="393" t="s">
        <v>386</v>
      </c>
      <c r="B38" s="1540" t="s">
        <v>387</v>
      </c>
      <c r="C38" s="1540"/>
      <c r="D38" s="1540"/>
      <c r="E38" s="1540"/>
      <c r="F38" s="1540"/>
      <c r="G38" s="1540"/>
      <c r="H38" s="1540"/>
      <c r="I38" s="1540"/>
      <c r="J38" s="1540"/>
      <c r="K38" s="1540"/>
      <c r="L38" s="1540"/>
      <c r="M38" s="1540"/>
      <c r="N38" s="1540"/>
      <c r="O38" s="1540"/>
      <c r="P38" s="1540"/>
      <c r="Q38" s="1540"/>
      <c r="R38" s="1540"/>
      <c r="S38" s="1540"/>
      <c r="T38" s="1540"/>
      <c r="U38" s="1540"/>
      <c r="V38" s="1540"/>
      <c r="W38" s="1541"/>
    </row>
    <row r="39" spans="1:23" customFormat="1" x14ac:dyDescent="0.25">
      <c r="A39" s="393" t="s">
        <v>388</v>
      </c>
      <c r="B39" s="1540" t="s">
        <v>389</v>
      </c>
      <c r="C39" s="1540"/>
      <c r="D39" s="1540"/>
      <c r="E39" s="1540"/>
      <c r="F39" s="1540"/>
      <c r="G39" s="1540"/>
      <c r="H39" s="1540"/>
      <c r="I39" s="1540"/>
      <c r="J39" s="1540"/>
      <c r="K39" s="1540"/>
      <c r="L39" s="1540"/>
      <c r="M39" s="1540"/>
      <c r="N39" s="1540"/>
      <c r="O39" s="1540"/>
      <c r="P39" s="1540"/>
      <c r="Q39" s="1540"/>
      <c r="R39" s="1540"/>
      <c r="S39" s="1540"/>
      <c r="T39" s="1540"/>
      <c r="U39" s="1540"/>
      <c r="V39" s="1540"/>
      <c r="W39" s="1541"/>
    </row>
    <row r="40" spans="1:23" x14ac:dyDescent="0.25">
      <c r="A40" s="393" t="s">
        <v>347</v>
      </c>
      <c r="B40" s="1540" t="s">
        <v>390</v>
      </c>
      <c r="C40" s="1540"/>
      <c r="D40" s="1540"/>
      <c r="E40" s="1540"/>
      <c r="F40" s="1540"/>
      <c r="G40" s="1540"/>
      <c r="H40" s="1540"/>
      <c r="I40" s="1540"/>
      <c r="J40" s="1540"/>
      <c r="K40" s="1540"/>
      <c r="L40" s="1540"/>
      <c r="M40" s="1540"/>
      <c r="N40" s="1540"/>
      <c r="O40" s="1540"/>
      <c r="P40" s="1540"/>
      <c r="Q40" s="1540"/>
      <c r="R40" s="1540"/>
      <c r="S40" s="1540"/>
      <c r="T40" s="1540"/>
      <c r="U40" s="1540"/>
      <c r="V40" s="1540"/>
      <c r="W40" s="1541"/>
    </row>
  </sheetData>
  <sheetProtection algorithmName="SHA-512" hashValue="amyTuA75JO5m1WZt6MfNGkwMQaSuhLyN/oyLeOfiGeZhZjPJnTPpX4EACyS1Q6Z0GTExn67Yi7chDmb+7YWnyA==" saltValue="jqo2NUzsd/fDde7md+z0Mw==" spinCount="100000" sheet="1" objects="1" scenarios="1" formatRows="0" selectLockedCells="1"/>
  <mergeCells count="59">
    <mergeCell ref="A1:D5"/>
    <mergeCell ref="E1:E5"/>
    <mergeCell ref="A6:B6"/>
    <mergeCell ref="C6:G6"/>
    <mergeCell ref="H6:W8"/>
    <mergeCell ref="A7:B8"/>
    <mergeCell ref="C7:G7"/>
    <mergeCell ref="C8:G8"/>
    <mergeCell ref="Q10:Q11"/>
    <mergeCell ref="V1:W5"/>
    <mergeCell ref="T1:T5"/>
    <mergeCell ref="U1:U5"/>
    <mergeCell ref="S10:S11"/>
    <mergeCell ref="T10:T11"/>
    <mergeCell ref="U10:U11"/>
    <mergeCell ref="V10:V11"/>
    <mergeCell ref="W10:W11"/>
    <mergeCell ref="F1:S5"/>
    <mergeCell ref="D14:E14"/>
    <mergeCell ref="R10:R11"/>
    <mergeCell ref="A9:W9"/>
    <mergeCell ref="A10:A11"/>
    <mergeCell ref="B10:B11"/>
    <mergeCell ref="C10:C11"/>
    <mergeCell ref="D10:D11"/>
    <mergeCell ref="E10:E11"/>
    <mergeCell ref="F10:F11"/>
    <mergeCell ref="G10:G11"/>
    <mergeCell ref="H10:I10"/>
    <mergeCell ref="J10:J11"/>
    <mergeCell ref="K10:K11"/>
    <mergeCell ref="M10:N10"/>
    <mergeCell ref="O10:O11"/>
    <mergeCell ref="P10:P11"/>
    <mergeCell ref="A21:N21"/>
    <mergeCell ref="S21:W21"/>
    <mergeCell ref="B32:W32"/>
    <mergeCell ref="B25:E26"/>
    <mergeCell ref="F25:G26"/>
    <mergeCell ref="R25:V26"/>
    <mergeCell ref="W25:W26"/>
    <mergeCell ref="A22:I23"/>
    <mergeCell ref="J22:Q22"/>
    <mergeCell ref="R22:U23"/>
    <mergeCell ref="V22:V23"/>
    <mergeCell ref="W22:W23"/>
    <mergeCell ref="A27:W27"/>
    <mergeCell ref="B28:W28"/>
    <mergeCell ref="B29:W29"/>
    <mergeCell ref="B30:W30"/>
    <mergeCell ref="B31:W31"/>
    <mergeCell ref="B39:W39"/>
    <mergeCell ref="B40:W40"/>
    <mergeCell ref="B33:W33"/>
    <mergeCell ref="B34:W34"/>
    <mergeCell ref="B35:W35"/>
    <mergeCell ref="C36:W36"/>
    <mergeCell ref="C37:W37"/>
    <mergeCell ref="B38:W38"/>
  </mergeCells>
  <conditionalFormatting sqref="H6:W8">
    <cfRule type="containsText" dxfId="6" priority="3" operator="containsText" text="Number of bedrooms must be entered on '2 Project Information' tab before this sheet will tabulate properly.">
      <formula>NOT(ISERROR(SEARCH("Number of bedrooms must be entered on '2 Project Information' tab before this sheet will tabulate properly.",H6)))</formula>
    </cfRule>
  </conditionalFormatting>
  <conditionalFormatting sqref="V12:V13">
    <cfRule type="cellIs" dxfId="5" priority="10" operator="notEqual">
      <formula>"Yes"</formula>
    </cfRule>
  </conditionalFormatting>
  <conditionalFormatting sqref="V15:V20">
    <cfRule type="cellIs" dxfId="4" priority="4" operator="notEqual">
      <formula>"Yes"</formula>
    </cfRule>
  </conditionalFormatting>
  <conditionalFormatting sqref="V22:V23">
    <cfRule type="containsText" dxfId="3" priority="2" operator="containsText" text="Bedrooms?">
      <formula>NOT(ISERROR(SEARCH("Bedrooms?",V22)))</formula>
    </cfRule>
  </conditionalFormatting>
  <conditionalFormatting sqref="W22">
    <cfRule type="expression" dxfId="2" priority="12">
      <formula>(W22="final")</formula>
    </cfRule>
    <cfRule type="expression" dxfId="1" priority="13">
      <formula>(W22="NOT COMPLIANT")</formula>
    </cfRule>
  </conditionalFormatting>
  <dataValidations count="2">
    <dataValidation type="whole" allowBlank="1" showInputMessage="1" showErrorMessage="1" error="Gallons of rain water cannot exceed sum of water used indoors in 1-year period." prompt="Enter gallons of rainwater expected to be beneficially used indors over an average 1-year period." sqref="F20" xr:uid="{00000000-0002-0000-0700-000000000000}">
      <formula1>0</formula1>
      <formula2>SUM(Q12:Q19)*365</formula2>
    </dataValidation>
    <dataValidation type="list" allowBlank="1" showInputMessage="1" showErrorMessage="1" sqref="V15:V20 G20 V12:V13 G12:G18" xr:uid="{00000000-0002-0000-0700-000001000000}">
      <formula1>YesOrNo</formula1>
    </dataValidation>
  </dataValidations>
  <printOptions horizontalCentered="1"/>
  <pageMargins left="0.5" right="0.5" top="0.75" bottom="0.75" header="0.3" footer="0.3"/>
  <pageSetup scale="61" orientation="landscape" r:id="rId1"/>
  <headerFooter>
    <oddHeader>&amp;L&amp;F&amp;R&amp;A</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A664E71C-55A8-4959-9159-12A2153E05C4}">
            <xm:f>OR('4 Scoring &amp; Verification'!$M$118="Yes",'4 Scoring &amp; Verification'!$M$119="Yes")</xm:f>
            <x14:dxf>
              <font>
                <b/>
                <i val="0"/>
                <strike val="0"/>
                <color rgb="FFFF0000"/>
              </font>
              <fill>
                <patternFill>
                  <bgColor theme="9" tint="0.79998168889431442"/>
                </patternFill>
              </fill>
            </x14:dxf>
          </x14:cfRule>
          <xm:sqref>F1:S5</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O156"/>
  <sheetViews>
    <sheetView zoomScale="115" zoomScaleNormal="115" workbookViewId="0">
      <pane ySplit="8" topLeftCell="A63" activePane="bottomLeft" state="frozen"/>
      <selection activeCell="H156" sqref="H156"/>
      <selection pane="bottomLeft" activeCell="H156" sqref="H156"/>
    </sheetView>
  </sheetViews>
  <sheetFormatPr defaultColWidth="11.28515625" defaultRowHeight="15" x14ac:dyDescent="0.25"/>
  <cols>
    <col min="1" max="1" width="10.7109375" customWidth="1"/>
    <col min="2" max="2" width="2.28515625" customWidth="1"/>
    <col min="3" max="3" width="24" customWidth="1"/>
    <col min="4" max="9" width="7.7109375" customWidth="1"/>
    <col min="10" max="11" width="7" customWidth="1"/>
    <col min="12" max="14" width="12.28515625" customWidth="1"/>
    <col min="15" max="15" width="12.28515625" style="262" customWidth="1"/>
  </cols>
  <sheetData>
    <row r="1" spans="1:15" ht="13.9" customHeight="1" x14ac:dyDescent="0.25">
      <c r="A1" s="1698"/>
      <c r="B1" s="1699"/>
      <c r="C1" s="1699"/>
      <c r="D1" s="1702" t="s">
        <v>513</v>
      </c>
      <c r="E1" s="1703"/>
      <c r="F1" s="1703"/>
      <c r="G1" s="1703"/>
      <c r="H1" s="1703"/>
      <c r="I1" s="1703"/>
      <c r="J1" s="1703"/>
      <c r="K1" s="1704"/>
      <c r="L1" s="1705" t="s">
        <v>514</v>
      </c>
      <c r="M1" s="1705"/>
      <c r="N1" s="1705"/>
      <c r="O1" s="1706"/>
    </row>
    <row r="2" spans="1:15" ht="13.9" customHeight="1" x14ac:dyDescent="0.25">
      <c r="A2" s="1700"/>
      <c r="B2" s="1701"/>
      <c r="C2" s="1701"/>
      <c r="D2" s="1710" t="str">
        <f>IF('3 Project Information'!E7="","",'3 Project Information'!E7)</f>
        <v/>
      </c>
      <c r="E2" s="1034"/>
      <c r="F2" s="1034"/>
      <c r="G2" s="1034"/>
      <c r="H2" s="1034"/>
      <c r="I2" s="1034"/>
      <c r="J2" s="1034"/>
      <c r="K2" s="1711"/>
      <c r="L2" s="1707"/>
      <c r="M2" s="1707"/>
      <c r="N2" s="1707"/>
      <c r="O2" s="1708"/>
    </row>
    <row r="3" spans="1:15" ht="13.9" customHeight="1" x14ac:dyDescent="0.25">
      <c r="A3" s="1700"/>
      <c r="B3" s="1701"/>
      <c r="C3" s="1701"/>
      <c r="D3" s="1710" t="str">
        <f>IF('3 Project Information'!E8="","",'3 Project Information'!E8)</f>
        <v/>
      </c>
      <c r="E3" s="1034"/>
      <c r="F3" s="1034"/>
      <c r="G3" s="1034"/>
      <c r="H3" s="1034"/>
      <c r="I3" s="1034"/>
      <c r="J3" s="1034"/>
      <c r="K3" s="1711"/>
      <c r="L3" s="1707"/>
      <c r="M3" s="1707"/>
      <c r="N3" s="1707"/>
      <c r="O3" s="1708"/>
    </row>
    <row r="4" spans="1:15" ht="13.9" customHeight="1" thickBot="1" x14ac:dyDescent="0.3">
      <c r="A4" s="1700"/>
      <c r="B4" s="1701"/>
      <c r="C4" s="1701"/>
      <c r="D4" s="1712" t="str">
        <f>IF('3 Project Information'!E9="","",'3 Project Information'!E9)</f>
        <v/>
      </c>
      <c r="E4" s="1515"/>
      <c r="F4" s="1515"/>
      <c r="G4" s="1515"/>
      <c r="H4" s="1515"/>
      <c r="I4" s="1515"/>
      <c r="J4" s="1515"/>
      <c r="K4" s="1713"/>
      <c r="L4" s="1707"/>
      <c r="M4" s="1707"/>
      <c r="N4" s="1707"/>
      <c r="O4" s="1708"/>
    </row>
    <row r="5" spans="1:15" ht="15" customHeight="1" thickBot="1" x14ac:dyDescent="0.3">
      <c r="A5" s="1700"/>
      <c r="B5" s="1701"/>
      <c r="C5" s="1701"/>
      <c r="D5" s="1714" t="s">
        <v>518</v>
      </c>
      <c r="E5" s="1715"/>
      <c r="F5" s="1715"/>
      <c r="G5" s="1715"/>
      <c r="H5" s="1715"/>
      <c r="I5" s="1716"/>
      <c r="J5" s="1717">
        <f>'3 Project Information'!E15</f>
        <v>0</v>
      </c>
      <c r="K5" s="1718"/>
      <c r="L5" s="1707"/>
      <c r="M5" s="1707"/>
      <c r="N5" s="1707"/>
      <c r="O5" s="1708"/>
    </row>
    <row r="6" spans="1:15" ht="16.899999999999999" customHeight="1" x14ac:dyDescent="0.25">
      <c r="A6" s="277"/>
      <c r="C6" s="1719">
        <f>VersionNo.</f>
        <v>2024.08</v>
      </c>
      <c r="D6" s="1720"/>
      <c r="E6" s="1720"/>
      <c r="F6" s="1720"/>
      <c r="G6" s="1720"/>
      <c r="H6" s="1720"/>
      <c r="I6" s="1720"/>
      <c r="J6" s="1720"/>
      <c r="K6" s="1721"/>
      <c r="L6" s="1441"/>
      <c r="M6" s="1441"/>
      <c r="N6" s="1441"/>
      <c r="O6" s="1709"/>
    </row>
    <row r="7" spans="1:15" ht="16.899999999999999" customHeight="1" x14ac:dyDescent="0.25">
      <c r="A7" s="1684" t="s">
        <v>86</v>
      </c>
      <c r="B7" s="1685"/>
      <c r="C7" s="1688" t="s">
        <v>519</v>
      </c>
      <c r="D7" s="1689"/>
      <c r="E7" s="1689"/>
      <c r="F7" s="1689"/>
      <c r="G7" s="1689"/>
      <c r="H7" s="1689"/>
      <c r="I7" s="1689"/>
      <c r="J7" s="1689"/>
      <c r="K7" s="1689"/>
      <c r="L7" s="1688" t="s">
        <v>520</v>
      </c>
      <c r="M7" s="1691"/>
      <c r="N7" s="1688" t="s">
        <v>521</v>
      </c>
      <c r="O7" s="1693" t="s">
        <v>522</v>
      </c>
    </row>
    <row r="8" spans="1:15" ht="45" customHeight="1" x14ac:dyDescent="0.25">
      <c r="A8" s="1686"/>
      <c r="B8" s="1687"/>
      <c r="C8" s="1690"/>
      <c r="D8" s="1690"/>
      <c r="E8" s="1690"/>
      <c r="F8" s="1690"/>
      <c r="G8" s="1690"/>
      <c r="H8" s="1690"/>
      <c r="I8" s="1690"/>
      <c r="J8" s="1690"/>
      <c r="K8" s="1690"/>
      <c r="L8" s="395" t="s">
        <v>523</v>
      </c>
      <c r="M8" s="395" t="s">
        <v>524</v>
      </c>
      <c r="N8" s="1692"/>
      <c r="O8" s="1694"/>
    </row>
    <row r="9" spans="1:15" ht="64.900000000000006" customHeight="1" x14ac:dyDescent="0.25">
      <c r="A9" s="1695" t="s">
        <v>525</v>
      </c>
      <c r="B9" s="1696"/>
      <c r="C9" s="1696"/>
      <c r="D9" s="1696"/>
      <c r="E9" s="1696"/>
      <c r="F9" s="1696"/>
      <c r="G9" s="1696"/>
      <c r="H9" s="1696"/>
      <c r="I9" s="1696"/>
      <c r="J9" s="1696"/>
      <c r="K9" s="1696"/>
      <c r="L9" s="1696"/>
      <c r="M9" s="1696"/>
      <c r="N9" s="1696"/>
      <c r="O9" s="1697"/>
    </row>
    <row r="10" spans="1:15" x14ac:dyDescent="0.25">
      <c r="A10" s="1681" t="s">
        <v>929</v>
      </c>
      <c r="B10" s="1681"/>
      <c r="C10" s="1681"/>
      <c r="D10" s="1681"/>
      <c r="E10" s="1681"/>
      <c r="F10" s="1681"/>
      <c r="G10" s="1681"/>
      <c r="H10" s="1681"/>
      <c r="I10" s="1681"/>
      <c r="J10" s="1681"/>
      <c r="K10" s="1681"/>
      <c r="L10" s="1681"/>
      <c r="M10" s="1681"/>
      <c r="N10" s="1681"/>
      <c r="O10" s="1681"/>
    </row>
    <row r="11" spans="1:15" ht="44.25" customHeight="1" x14ac:dyDescent="0.25">
      <c r="A11" s="1659">
        <v>1.1000000000000001</v>
      </c>
      <c r="B11" s="1664"/>
      <c r="C11" s="761" t="s">
        <v>1367</v>
      </c>
      <c r="D11" s="695"/>
      <c r="E11" s="695"/>
      <c r="F11" s="695"/>
      <c r="G11" s="695"/>
      <c r="H11" s="695"/>
      <c r="I11" s="695"/>
      <c r="J11" s="695"/>
      <c r="K11" s="696"/>
      <c r="L11" s="64"/>
      <c r="M11" s="64"/>
      <c r="N11" s="64"/>
      <c r="O11" s="64"/>
    </row>
    <row r="12" spans="1:15" ht="4.9000000000000004" customHeight="1" x14ac:dyDescent="0.25">
      <c r="A12" s="1659"/>
      <c r="B12" s="655"/>
      <c r="C12" s="655"/>
      <c r="D12" s="655"/>
      <c r="E12" s="655"/>
      <c r="F12" s="655"/>
      <c r="G12" s="655"/>
      <c r="H12" s="655"/>
      <c r="I12" s="655"/>
      <c r="J12" s="655"/>
      <c r="K12" s="655"/>
      <c r="L12" s="655"/>
      <c r="M12" s="655"/>
      <c r="N12" s="655"/>
      <c r="O12" s="656"/>
    </row>
    <row r="13" spans="1:15" ht="13.9" customHeight="1" x14ac:dyDescent="0.25">
      <c r="A13" s="1678" t="s">
        <v>526</v>
      </c>
      <c r="B13" s="1679"/>
      <c r="C13" s="1682"/>
      <c r="D13" s="1682"/>
      <c r="E13" s="1682"/>
      <c r="F13" s="1682"/>
      <c r="G13" s="1682"/>
      <c r="H13" s="1682"/>
      <c r="I13" s="1682"/>
      <c r="J13" s="1682"/>
      <c r="K13" s="1682"/>
      <c r="L13" s="1682"/>
      <c r="M13" s="1682"/>
      <c r="N13" s="1682"/>
      <c r="O13" s="1683"/>
    </row>
    <row r="14" spans="1:15" ht="47.1" customHeight="1" x14ac:dyDescent="0.25">
      <c r="A14" s="1659">
        <v>2.1</v>
      </c>
      <c r="B14" s="1664"/>
      <c r="C14" s="761" t="s">
        <v>527</v>
      </c>
      <c r="D14" s="695"/>
      <c r="E14" s="695"/>
      <c r="F14" s="695"/>
      <c r="G14" s="695"/>
      <c r="H14" s="695"/>
      <c r="I14" s="695"/>
      <c r="J14" s="695"/>
      <c r="K14" s="696"/>
      <c r="L14" s="64"/>
      <c r="M14" s="64"/>
      <c r="N14" s="64"/>
      <c r="O14" s="64"/>
    </row>
    <row r="15" spans="1:15" ht="4.9000000000000004" customHeight="1" x14ac:dyDescent="0.25">
      <c r="A15" s="1659"/>
      <c r="B15" s="1660"/>
      <c r="C15" s="1072"/>
      <c r="D15" s="1072"/>
      <c r="E15" s="1072"/>
      <c r="F15" s="1072"/>
      <c r="G15" s="1072"/>
      <c r="H15" s="1072"/>
      <c r="I15" s="1072"/>
      <c r="J15" s="1072"/>
      <c r="K15" s="1072"/>
      <c r="L15" s="1072"/>
      <c r="M15" s="1072"/>
      <c r="N15" s="1072"/>
      <c r="O15" s="1073"/>
    </row>
    <row r="16" spans="1:15" ht="13.9" customHeight="1" x14ac:dyDescent="0.25">
      <c r="A16" s="1678" t="s">
        <v>528</v>
      </c>
      <c r="B16" s="1679"/>
      <c r="C16" s="1679"/>
      <c r="D16" s="1679"/>
      <c r="E16" s="1679"/>
      <c r="F16" s="1679"/>
      <c r="G16" s="1679"/>
      <c r="H16" s="1679"/>
      <c r="I16" s="1679"/>
      <c r="J16" s="1679"/>
      <c r="K16" s="1679"/>
      <c r="L16" s="1679"/>
      <c r="M16" s="1679"/>
      <c r="N16" s="1679"/>
      <c r="O16" s="1680"/>
    </row>
    <row r="17" spans="1:15" ht="89.25" customHeight="1" x14ac:dyDescent="0.25">
      <c r="A17" s="1631" t="s">
        <v>529</v>
      </c>
      <c r="B17" s="1072"/>
      <c r="C17" s="1072"/>
      <c r="D17" s="1072"/>
      <c r="E17" s="1072"/>
      <c r="F17" s="1072"/>
      <c r="G17" s="1072"/>
      <c r="H17" s="1072"/>
      <c r="I17" s="1072"/>
      <c r="J17" s="1072"/>
      <c r="K17" s="1072"/>
      <c r="L17" s="1072"/>
      <c r="M17" s="1072"/>
      <c r="N17" s="1072"/>
      <c r="O17" s="1073"/>
    </row>
    <row r="18" spans="1:15" ht="13.9" customHeight="1" x14ac:dyDescent="0.25">
      <c r="A18" s="1665">
        <v>3.1</v>
      </c>
      <c r="B18" s="1666"/>
      <c r="C18" s="1670" t="s">
        <v>530</v>
      </c>
      <c r="D18" s="1671"/>
      <c r="E18" s="1671"/>
      <c r="F18" s="1671"/>
      <c r="G18" s="1671"/>
      <c r="H18" s="1671"/>
      <c r="I18" s="1671"/>
      <c r="J18" s="1671"/>
      <c r="K18" s="1671"/>
      <c r="L18" s="1671"/>
      <c r="M18" s="1671"/>
      <c r="N18" s="1671"/>
      <c r="O18" s="1672"/>
    </row>
    <row r="19" spans="1:15" ht="13.9" customHeight="1" x14ac:dyDescent="0.25">
      <c r="A19" s="1659" t="s">
        <v>183</v>
      </c>
      <c r="B19" s="1664"/>
      <c r="C19" s="994" t="s">
        <v>531</v>
      </c>
      <c r="D19" s="460"/>
      <c r="E19" s="460"/>
      <c r="F19" s="460"/>
      <c r="G19" s="460"/>
      <c r="H19" s="460"/>
      <c r="I19" s="460"/>
      <c r="J19" s="460"/>
      <c r="K19" s="461"/>
      <c r="L19" s="64"/>
      <c r="M19" s="64"/>
      <c r="N19" s="64"/>
      <c r="O19" s="64"/>
    </row>
    <row r="20" spans="1:15" ht="13.9" customHeight="1" x14ac:dyDescent="0.25">
      <c r="A20" s="1659" t="s">
        <v>532</v>
      </c>
      <c r="B20" s="1664"/>
      <c r="C20" s="994" t="s">
        <v>533</v>
      </c>
      <c r="D20" s="460"/>
      <c r="E20" s="460"/>
      <c r="F20" s="460"/>
      <c r="G20" s="460"/>
      <c r="H20" s="460"/>
      <c r="I20" s="460"/>
      <c r="J20" s="460"/>
      <c r="K20" s="461"/>
      <c r="L20" s="64"/>
      <c r="M20" s="64"/>
      <c r="N20" s="64"/>
      <c r="O20" s="64"/>
    </row>
    <row r="21" spans="1:15" ht="13.9" customHeight="1" x14ac:dyDescent="0.25">
      <c r="A21" s="1659" t="s">
        <v>534</v>
      </c>
      <c r="B21" s="1664"/>
      <c r="C21" s="994" t="s">
        <v>535</v>
      </c>
      <c r="D21" s="460"/>
      <c r="E21" s="460"/>
      <c r="F21" s="460"/>
      <c r="G21" s="460"/>
      <c r="H21" s="460"/>
      <c r="I21" s="460"/>
      <c r="J21" s="460"/>
      <c r="K21" s="461"/>
      <c r="L21" s="64"/>
      <c r="M21" s="64"/>
      <c r="N21" s="64"/>
      <c r="O21" s="64"/>
    </row>
    <row r="22" spans="1:15" ht="13.9" customHeight="1" x14ac:dyDescent="0.25">
      <c r="A22" s="1659" t="s">
        <v>536</v>
      </c>
      <c r="B22" s="1664"/>
      <c r="C22" s="994" t="s">
        <v>537</v>
      </c>
      <c r="D22" s="460"/>
      <c r="E22" s="460"/>
      <c r="F22" s="460"/>
      <c r="G22" s="460"/>
      <c r="H22" s="460"/>
      <c r="I22" s="460"/>
      <c r="J22" s="460"/>
      <c r="K22" s="461"/>
      <c r="L22" s="64"/>
      <c r="M22" s="64"/>
      <c r="N22" s="64"/>
      <c r="O22" s="64"/>
    </row>
    <row r="23" spans="1:15" ht="13.9" customHeight="1" x14ac:dyDescent="0.25">
      <c r="A23" s="1659" t="s">
        <v>538</v>
      </c>
      <c r="B23" s="1664"/>
      <c r="C23" s="994" t="s">
        <v>539</v>
      </c>
      <c r="D23" s="460"/>
      <c r="E23" s="460"/>
      <c r="F23" s="460"/>
      <c r="G23" s="460"/>
      <c r="H23" s="460"/>
      <c r="I23" s="460"/>
      <c r="J23" s="460"/>
      <c r="K23" s="461"/>
      <c r="L23" s="64"/>
      <c r="M23" s="64"/>
      <c r="N23" s="64"/>
      <c r="O23" s="64"/>
    </row>
    <row r="24" spans="1:15" ht="13.9" customHeight="1" x14ac:dyDescent="0.25">
      <c r="A24" s="1659" t="s">
        <v>540</v>
      </c>
      <c r="B24" s="1664"/>
      <c r="C24" s="994" t="s">
        <v>541</v>
      </c>
      <c r="D24" s="460"/>
      <c r="E24" s="460"/>
      <c r="F24" s="460"/>
      <c r="G24" s="460"/>
      <c r="H24" s="460"/>
      <c r="I24" s="460"/>
      <c r="J24" s="460"/>
      <c r="K24" s="461"/>
      <c r="L24" s="64"/>
      <c r="M24" s="64"/>
      <c r="N24" s="64"/>
      <c r="O24" s="64"/>
    </row>
    <row r="25" spans="1:15" ht="13.9" customHeight="1" x14ac:dyDescent="0.25">
      <c r="A25" s="1659" t="s">
        <v>542</v>
      </c>
      <c r="B25" s="1664"/>
      <c r="C25" s="994" t="s">
        <v>543</v>
      </c>
      <c r="D25" s="460"/>
      <c r="E25" s="460"/>
      <c r="F25" s="460"/>
      <c r="G25" s="460"/>
      <c r="H25" s="460"/>
      <c r="I25" s="460"/>
      <c r="J25" s="460"/>
      <c r="K25" s="461"/>
      <c r="L25" s="64"/>
      <c r="M25" s="64"/>
      <c r="N25" s="64"/>
      <c r="O25" s="64"/>
    </row>
    <row r="26" spans="1:15" ht="13.9" customHeight="1" x14ac:dyDescent="0.25">
      <c r="A26" s="1659" t="s">
        <v>544</v>
      </c>
      <c r="B26" s="1664"/>
      <c r="C26" s="994" t="s">
        <v>545</v>
      </c>
      <c r="D26" s="460"/>
      <c r="E26" s="460"/>
      <c r="F26" s="460"/>
      <c r="G26" s="460"/>
      <c r="H26" s="460"/>
      <c r="I26" s="460"/>
      <c r="J26" s="460"/>
      <c r="K26" s="461"/>
      <c r="L26" s="64"/>
      <c r="M26" s="64"/>
      <c r="N26" s="64"/>
      <c r="O26" s="64"/>
    </row>
    <row r="27" spans="1:15" ht="13.9" customHeight="1" x14ac:dyDescent="0.25">
      <c r="A27" s="1659" t="s">
        <v>546</v>
      </c>
      <c r="B27" s="1664"/>
      <c r="C27" s="994" t="s">
        <v>547</v>
      </c>
      <c r="D27" s="460"/>
      <c r="E27" s="460"/>
      <c r="F27" s="460"/>
      <c r="G27" s="460"/>
      <c r="H27" s="460"/>
      <c r="I27" s="460"/>
      <c r="J27" s="460"/>
      <c r="K27" s="461"/>
      <c r="L27" s="64"/>
      <c r="M27" s="64"/>
      <c r="N27" s="64"/>
      <c r="O27" s="64"/>
    </row>
    <row r="28" spans="1:15" ht="13.9" customHeight="1" x14ac:dyDescent="0.25">
      <c r="A28" s="1665">
        <v>3.2</v>
      </c>
      <c r="B28" s="1666"/>
      <c r="C28" s="1670" t="s">
        <v>548</v>
      </c>
      <c r="D28" s="1671"/>
      <c r="E28" s="1671"/>
      <c r="F28" s="1671"/>
      <c r="G28" s="1671"/>
      <c r="H28" s="1671"/>
      <c r="I28" s="1671"/>
      <c r="J28" s="1671"/>
      <c r="K28" s="1671"/>
      <c r="L28" s="1671"/>
      <c r="M28" s="1671"/>
      <c r="N28" s="1671"/>
      <c r="O28" s="1672"/>
    </row>
    <row r="29" spans="1:15" ht="13.9" customHeight="1" x14ac:dyDescent="0.25">
      <c r="A29" s="1659" t="s">
        <v>190</v>
      </c>
      <c r="B29" s="1664"/>
      <c r="C29" s="994" t="s">
        <v>549</v>
      </c>
      <c r="D29" s="460"/>
      <c r="E29" s="460"/>
      <c r="F29" s="460"/>
      <c r="G29" s="460"/>
      <c r="H29" s="460"/>
      <c r="I29" s="460"/>
      <c r="J29" s="460"/>
      <c r="K29" s="461"/>
      <c r="L29" s="64"/>
      <c r="M29" s="64"/>
      <c r="N29" s="64"/>
      <c r="O29" s="64"/>
    </row>
    <row r="30" spans="1:15" ht="13.9" customHeight="1" x14ac:dyDescent="0.25">
      <c r="A30" s="1659" t="s">
        <v>550</v>
      </c>
      <c r="B30" s="1664"/>
      <c r="C30" s="994" t="s">
        <v>551</v>
      </c>
      <c r="D30" s="460"/>
      <c r="E30" s="460"/>
      <c r="F30" s="460"/>
      <c r="G30" s="460"/>
      <c r="H30" s="460"/>
      <c r="I30" s="460"/>
      <c r="J30" s="460"/>
      <c r="K30" s="461"/>
      <c r="L30" s="64"/>
      <c r="M30" s="64"/>
      <c r="N30" s="64"/>
      <c r="O30" s="64"/>
    </row>
    <row r="31" spans="1:15" ht="13.9" customHeight="1" x14ac:dyDescent="0.25">
      <c r="A31" s="1659" t="s">
        <v>552</v>
      </c>
      <c r="B31" s="1664"/>
      <c r="C31" s="994" t="s">
        <v>553</v>
      </c>
      <c r="D31" s="460"/>
      <c r="E31" s="460"/>
      <c r="F31" s="460"/>
      <c r="G31" s="460"/>
      <c r="H31" s="460"/>
      <c r="I31" s="460"/>
      <c r="J31" s="460"/>
      <c r="K31" s="461"/>
      <c r="L31" s="64"/>
      <c r="M31" s="64"/>
      <c r="N31" s="64"/>
      <c r="O31" s="64"/>
    </row>
    <row r="32" spans="1:15" ht="13.9" customHeight="1" x14ac:dyDescent="0.25">
      <c r="A32" s="1665">
        <v>3.3</v>
      </c>
      <c r="B32" s="1666"/>
      <c r="C32" s="1670" t="s">
        <v>554</v>
      </c>
      <c r="D32" s="1671"/>
      <c r="E32" s="1671"/>
      <c r="F32" s="1671"/>
      <c r="G32" s="1671"/>
      <c r="H32" s="1671"/>
      <c r="I32" s="1671"/>
      <c r="J32" s="1671"/>
      <c r="K32" s="1671"/>
      <c r="L32" s="1671"/>
      <c r="M32" s="1671"/>
      <c r="N32" s="1671"/>
      <c r="O32" s="1672"/>
    </row>
    <row r="33" spans="1:15" ht="13.9" customHeight="1" x14ac:dyDescent="0.25">
      <c r="A33" s="1659" t="s">
        <v>193</v>
      </c>
      <c r="B33" s="1664"/>
      <c r="C33" s="994" t="s">
        <v>555</v>
      </c>
      <c r="D33" s="460"/>
      <c r="E33" s="460"/>
      <c r="F33" s="460"/>
      <c r="G33" s="460"/>
      <c r="H33" s="460"/>
      <c r="I33" s="460"/>
      <c r="J33" s="460"/>
      <c r="K33" s="461"/>
      <c r="L33" s="64"/>
      <c r="M33" s="64"/>
      <c r="N33" s="64"/>
      <c r="O33" s="64"/>
    </row>
    <row r="34" spans="1:15" ht="13.9" customHeight="1" x14ac:dyDescent="0.25">
      <c r="A34" s="1659" t="s">
        <v>194</v>
      </c>
      <c r="B34" s="1664"/>
      <c r="C34" s="994" t="s">
        <v>556</v>
      </c>
      <c r="D34" s="460"/>
      <c r="E34" s="460"/>
      <c r="F34" s="460"/>
      <c r="G34" s="460"/>
      <c r="H34" s="460"/>
      <c r="I34" s="460"/>
      <c r="J34" s="460"/>
      <c r="K34" s="461"/>
      <c r="L34" s="64"/>
      <c r="M34" s="64"/>
      <c r="N34" s="64"/>
      <c r="O34" s="64"/>
    </row>
    <row r="35" spans="1:15" ht="4.9000000000000004" customHeight="1" x14ac:dyDescent="0.25">
      <c r="A35" s="1659"/>
      <c r="B35" s="1660"/>
      <c r="C35" s="1072"/>
      <c r="D35" s="1072"/>
      <c r="E35" s="1072"/>
      <c r="F35" s="1072"/>
      <c r="G35" s="1072"/>
      <c r="H35" s="1072"/>
      <c r="I35" s="1072"/>
      <c r="J35" s="1072"/>
      <c r="K35" s="1072"/>
      <c r="L35" s="1072"/>
      <c r="M35" s="1072"/>
      <c r="N35" s="1072"/>
      <c r="O35" s="1073"/>
    </row>
    <row r="36" spans="1:15" ht="13.9" customHeight="1" x14ac:dyDescent="0.25">
      <c r="A36" s="726" t="s">
        <v>557</v>
      </c>
      <c r="B36" s="1676"/>
      <c r="C36" s="1676"/>
      <c r="D36" s="1676"/>
      <c r="E36" s="1676"/>
      <c r="F36" s="1676"/>
      <c r="G36" s="1676"/>
      <c r="H36" s="1676"/>
      <c r="I36" s="1676"/>
      <c r="J36" s="1676"/>
      <c r="K36" s="1676"/>
      <c r="L36" s="1676"/>
      <c r="M36" s="1676"/>
      <c r="N36" s="1676"/>
      <c r="O36" s="1677"/>
    </row>
    <row r="37" spans="1:15" ht="29.25" customHeight="1" x14ac:dyDescent="0.25">
      <c r="A37" s="1659">
        <v>4.0999999999999996</v>
      </c>
      <c r="B37" s="1664"/>
      <c r="C37" s="761" t="s">
        <v>558</v>
      </c>
      <c r="D37" s="695"/>
      <c r="E37" s="695"/>
      <c r="F37" s="695"/>
      <c r="G37" s="695"/>
      <c r="H37" s="695"/>
      <c r="I37" s="695"/>
      <c r="J37" s="695"/>
      <c r="K37" s="696"/>
      <c r="L37" s="64"/>
      <c r="M37" s="64"/>
      <c r="N37" s="64"/>
      <c r="O37" s="64"/>
    </row>
    <row r="38" spans="1:15" ht="30.75" customHeight="1" x14ac:dyDescent="0.25">
      <c r="A38" s="1659">
        <v>4.2</v>
      </c>
      <c r="B38" s="1664"/>
      <c r="C38" s="761" t="s">
        <v>559</v>
      </c>
      <c r="D38" s="695"/>
      <c r="E38" s="695"/>
      <c r="F38" s="695"/>
      <c r="G38" s="695"/>
      <c r="H38" s="695"/>
      <c r="I38" s="695"/>
      <c r="J38" s="695"/>
      <c r="K38" s="696"/>
      <c r="L38" s="64"/>
      <c r="M38" s="64"/>
      <c r="N38" s="64"/>
      <c r="O38" s="64"/>
    </row>
    <row r="39" spans="1:15" ht="30" customHeight="1" x14ac:dyDescent="0.25">
      <c r="A39" s="1659">
        <v>4.3</v>
      </c>
      <c r="B39" s="1664"/>
      <c r="C39" s="761" t="s">
        <v>560</v>
      </c>
      <c r="D39" s="695"/>
      <c r="E39" s="695"/>
      <c r="F39" s="695"/>
      <c r="G39" s="695"/>
      <c r="H39" s="695"/>
      <c r="I39" s="695"/>
      <c r="J39" s="695"/>
      <c r="K39" s="696"/>
      <c r="L39" s="64"/>
      <c r="M39" s="64"/>
      <c r="N39" s="64"/>
      <c r="O39" s="64"/>
    </row>
    <row r="40" spans="1:15" ht="29.25" customHeight="1" x14ac:dyDescent="0.25">
      <c r="A40" s="1659">
        <v>4.4000000000000004</v>
      </c>
      <c r="B40" s="1664"/>
      <c r="C40" s="1631" t="s">
        <v>561</v>
      </c>
      <c r="D40" s="1072"/>
      <c r="E40" s="1072"/>
      <c r="F40" s="1072"/>
      <c r="G40" s="1072"/>
      <c r="H40" s="1072"/>
      <c r="I40" s="1072"/>
      <c r="J40" s="1072"/>
      <c r="K40" s="1072"/>
      <c r="L40" s="1072"/>
      <c r="M40" s="1072"/>
      <c r="N40" s="1072"/>
      <c r="O40" s="1073"/>
    </row>
    <row r="41" spans="1:15" ht="28.35" customHeight="1" x14ac:dyDescent="0.25">
      <c r="A41" s="1659" t="s">
        <v>288</v>
      </c>
      <c r="B41" s="1664"/>
      <c r="C41" s="994" t="s">
        <v>562</v>
      </c>
      <c r="D41" s="460"/>
      <c r="E41" s="460"/>
      <c r="F41" s="460"/>
      <c r="G41" s="460"/>
      <c r="H41" s="460"/>
      <c r="I41" s="460"/>
      <c r="J41" s="460"/>
      <c r="K41" s="461"/>
      <c r="L41" s="64"/>
      <c r="M41" s="64"/>
      <c r="N41" s="64"/>
      <c r="O41" s="64"/>
    </row>
    <row r="42" spans="1:15" ht="13.9" customHeight="1" x14ac:dyDescent="0.25">
      <c r="A42" s="1659" t="s">
        <v>289</v>
      </c>
      <c r="B42" s="1664"/>
      <c r="C42" s="994" t="s">
        <v>563</v>
      </c>
      <c r="D42" s="460"/>
      <c r="E42" s="460"/>
      <c r="F42" s="460"/>
      <c r="G42" s="460"/>
      <c r="H42" s="460"/>
      <c r="I42" s="460"/>
      <c r="J42" s="460"/>
      <c r="K42" s="461"/>
      <c r="L42" s="64"/>
      <c r="M42" s="64"/>
      <c r="N42" s="64"/>
      <c r="O42" s="64"/>
    </row>
    <row r="43" spans="1:15" ht="13.9" customHeight="1" x14ac:dyDescent="0.25">
      <c r="A43" s="1659" t="s">
        <v>290</v>
      </c>
      <c r="B43" s="1664"/>
      <c r="C43" s="994" t="s">
        <v>564</v>
      </c>
      <c r="D43" s="460"/>
      <c r="E43" s="460"/>
      <c r="F43" s="460"/>
      <c r="G43" s="460"/>
      <c r="H43" s="460"/>
      <c r="I43" s="460"/>
      <c r="J43" s="460"/>
      <c r="K43" s="461"/>
      <c r="L43" s="64"/>
      <c r="M43" s="64"/>
      <c r="N43" s="64"/>
      <c r="O43" s="64"/>
    </row>
    <row r="44" spans="1:15" ht="13.9" customHeight="1" x14ac:dyDescent="0.25">
      <c r="A44" s="1659" t="s">
        <v>292</v>
      </c>
      <c r="B44" s="1664"/>
      <c r="C44" s="994" t="s">
        <v>565</v>
      </c>
      <c r="D44" s="460"/>
      <c r="E44" s="460"/>
      <c r="F44" s="460"/>
      <c r="G44" s="460"/>
      <c r="H44" s="460"/>
      <c r="I44" s="460"/>
      <c r="J44" s="460"/>
      <c r="K44" s="461"/>
      <c r="L44" s="64"/>
      <c r="M44" s="64"/>
      <c r="N44" s="64"/>
      <c r="O44" s="64"/>
    </row>
    <row r="45" spans="1:15" ht="13.9" customHeight="1" x14ac:dyDescent="0.25">
      <c r="A45" s="1659" t="s">
        <v>297</v>
      </c>
      <c r="B45" s="1664"/>
      <c r="C45" s="994" t="s">
        <v>566</v>
      </c>
      <c r="D45" s="460"/>
      <c r="E45" s="460"/>
      <c r="F45" s="460"/>
      <c r="G45" s="460"/>
      <c r="H45" s="460"/>
      <c r="I45" s="460"/>
      <c r="J45" s="460"/>
      <c r="K45" s="461"/>
      <c r="L45" s="242"/>
      <c r="M45" s="242"/>
      <c r="N45" s="242"/>
      <c r="O45" s="242"/>
    </row>
    <row r="46" spans="1:15" ht="13.9" customHeight="1" x14ac:dyDescent="0.25">
      <c r="A46" s="1659" t="s">
        <v>567</v>
      </c>
      <c r="B46" s="1664"/>
      <c r="C46" s="717" t="s">
        <v>568</v>
      </c>
      <c r="D46" s="718"/>
      <c r="E46" s="718"/>
      <c r="F46" s="718"/>
      <c r="G46" s="718"/>
      <c r="H46" s="718"/>
      <c r="I46" s="718"/>
      <c r="J46" s="718"/>
      <c r="K46" s="719"/>
      <c r="L46" s="64"/>
      <c r="M46" s="64"/>
      <c r="N46" s="64"/>
      <c r="O46" s="64"/>
    </row>
    <row r="47" spans="1:15" ht="27" customHeight="1" x14ac:dyDescent="0.25">
      <c r="A47" s="1659" t="s">
        <v>569</v>
      </c>
      <c r="B47" s="1664"/>
      <c r="C47" s="717" t="s">
        <v>570</v>
      </c>
      <c r="D47" s="718"/>
      <c r="E47" s="718"/>
      <c r="F47" s="718"/>
      <c r="G47" s="718"/>
      <c r="H47" s="718"/>
      <c r="I47" s="718"/>
      <c r="J47" s="718"/>
      <c r="K47" s="719"/>
      <c r="L47" s="64"/>
      <c r="M47" s="64"/>
      <c r="N47" s="64"/>
      <c r="O47" s="64"/>
    </row>
    <row r="48" spans="1:15" ht="28.35" customHeight="1" x14ac:dyDescent="0.25">
      <c r="A48" s="1659" t="s">
        <v>571</v>
      </c>
      <c r="B48" s="1664"/>
      <c r="C48" s="717" t="s">
        <v>572</v>
      </c>
      <c r="D48" s="718"/>
      <c r="E48" s="718"/>
      <c r="F48" s="718"/>
      <c r="G48" s="718"/>
      <c r="H48" s="718"/>
      <c r="I48" s="718"/>
      <c r="J48" s="718"/>
      <c r="K48" s="719"/>
      <c r="L48" s="64"/>
      <c r="M48" s="64"/>
      <c r="N48" s="64"/>
      <c r="O48" s="64"/>
    </row>
    <row r="49" spans="1:15" ht="29.25" customHeight="1" x14ac:dyDescent="0.25">
      <c r="A49" s="1659" t="s">
        <v>573</v>
      </c>
      <c r="B49" s="1664"/>
      <c r="C49" s="717" t="s">
        <v>574</v>
      </c>
      <c r="D49" s="718"/>
      <c r="E49" s="718"/>
      <c r="F49" s="718"/>
      <c r="G49" s="718"/>
      <c r="H49" s="718"/>
      <c r="I49" s="718"/>
      <c r="J49" s="718"/>
      <c r="K49" s="719"/>
      <c r="L49" s="64"/>
      <c r="M49" s="64"/>
      <c r="N49" s="64"/>
      <c r="O49" s="64"/>
    </row>
    <row r="50" spans="1:15" ht="27.75" customHeight="1" x14ac:dyDescent="0.25">
      <c r="A50" s="1659" t="s">
        <v>575</v>
      </c>
      <c r="B50" s="1664"/>
      <c r="C50" s="717" t="s">
        <v>576</v>
      </c>
      <c r="D50" s="718"/>
      <c r="E50" s="718"/>
      <c r="F50" s="718"/>
      <c r="G50" s="718"/>
      <c r="H50" s="718"/>
      <c r="I50" s="718"/>
      <c r="J50" s="718"/>
      <c r="K50" s="719"/>
      <c r="L50" s="64"/>
      <c r="M50" s="64"/>
      <c r="N50" s="64"/>
      <c r="O50" s="64"/>
    </row>
    <row r="51" spans="1:15" ht="4.9000000000000004" customHeight="1" x14ac:dyDescent="0.25">
      <c r="A51" s="1631"/>
      <c r="B51" s="1072"/>
      <c r="C51" s="1072"/>
      <c r="D51" s="1072"/>
      <c r="E51" s="1072"/>
      <c r="F51" s="1072"/>
      <c r="G51" s="1072"/>
      <c r="H51" s="1072"/>
      <c r="I51" s="1072"/>
      <c r="J51" s="1072"/>
      <c r="K51" s="1072"/>
      <c r="L51" s="1072"/>
      <c r="M51" s="1072"/>
      <c r="N51" s="1072"/>
      <c r="O51" s="1073"/>
    </row>
    <row r="52" spans="1:15" ht="13.9" customHeight="1" x14ac:dyDescent="0.25">
      <c r="A52" s="1673" t="s">
        <v>577</v>
      </c>
      <c r="B52" s="1674"/>
      <c r="C52" s="1674"/>
      <c r="D52" s="1674"/>
      <c r="E52" s="1674"/>
      <c r="F52" s="1674"/>
      <c r="G52" s="1674"/>
      <c r="H52" s="1674"/>
      <c r="I52" s="1674"/>
      <c r="J52" s="1674"/>
      <c r="K52" s="1674"/>
      <c r="L52" s="1674"/>
      <c r="M52" s="1674"/>
      <c r="N52" s="1674"/>
      <c r="O52" s="1675"/>
    </row>
    <row r="53" spans="1:15" ht="13.9" customHeight="1" x14ac:dyDescent="0.25">
      <c r="A53" s="1665">
        <v>5.0999999999999996</v>
      </c>
      <c r="B53" s="1666"/>
      <c r="C53" s="1670" t="s">
        <v>578</v>
      </c>
      <c r="D53" s="1671"/>
      <c r="E53" s="1671"/>
      <c r="F53" s="1671"/>
      <c r="G53" s="1671"/>
      <c r="H53" s="1671"/>
      <c r="I53" s="1671"/>
      <c r="J53" s="1671"/>
      <c r="K53" s="1671"/>
      <c r="L53" s="1671"/>
      <c r="M53" s="1671"/>
      <c r="N53" s="1671"/>
      <c r="O53" s="1672"/>
    </row>
    <row r="54" spans="1:15" ht="44.45" customHeight="1" x14ac:dyDescent="0.25">
      <c r="A54" s="1659" t="s">
        <v>579</v>
      </c>
      <c r="B54" s="1664"/>
      <c r="C54" s="994" t="s">
        <v>1253</v>
      </c>
      <c r="D54" s="460"/>
      <c r="E54" s="460"/>
      <c r="F54" s="460"/>
      <c r="G54" s="460"/>
      <c r="H54" s="460"/>
      <c r="I54" s="460"/>
      <c r="J54" s="460"/>
      <c r="K54" s="461"/>
      <c r="L54" s="64"/>
      <c r="M54" s="64"/>
      <c r="N54" s="64"/>
      <c r="O54" s="64"/>
    </row>
    <row r="55" spans="1:15" ht="13.9" customHeight="1" x14ac:dyDescent="0.25">
      <c r="A55" s="1659" t="s">
        <v>580</v>
      </c>
      <c r="B55" s="1664"/>
      <c r="C55" s="994" t="s">
        <v>581</v>
      </c>
      <c r="D55" s="460"/>
      <c r="E55" s="460"/>
      <c r="F55" s="460"/>
      <c r="G55" s="460"/>
      <c r="H55" s="460"/>
      <c r="I55" s="460"/>
      <c r="J55" s="460"/>
      <c r="K55" s="461"/>
      <c r="L55" s="64"/>
      <c r="M55" s="64"/>
      <c r="N55" s="64"/>
      <c r="O55" s="64"/>
    </row>
    <row r="56" spans="1:15" ht="31.15" customHeight="1" x14ac:dyDescent="0.25">
      <c r="A56" s="1659" t="s">
        <v>582</v>
      </c>
      <c r="B56" s="1664"/>
      <c r="C56" s="994" t="s">
        <v>1254</v>
      </c>
      <c r="D56" s="460"/>
      <c r="E56" s="460"/>
      <c r="F56" s="460"/>
      <c r="G56" s="460"/>
      <c r="H56" s="460"/>
      <c r="I56" s="460"/>
      <c r="J56" s="460"/>
      <c r="K56" s="461"/>
      <c r="L56" s="64"/>
      <c r="M56" s="64"/>
      <c r="N56" s="64"/>
      <c r="O56" s="64"/>
    </row>
    <row r="57" spans="1:15" ht="13.9" customHeight="1" x14ac:dyDescent="0.25">
      <c r="A57" s="1659" t="s">
        <v>583</v>
      </c>
      <c r="B57" s="1664"/>
      <c r="C57" s="994" t="s">
        <v>584</v>
      </c>
      <c r="D57" s="460"/>
      <c r="E57" s="460"/>
      <c r="F57" s="460"/>
      <c r="G57" s="460"/>
      <c r="H57" s="460"/>
      <c r="I57" s="460"/>
      <c r="J57" s="460"/>
      <c r="K57" s="461"/>
      <c r="L57" s="64"/>
      <c r="M57" s="64"/>
      <c r="N57" s="64"/>
      <c r="O57" s="64"/>
    </row>
    <row r="58" spans="1:15" ht="72" customHeight="1" x14ac:dyDescent="0.25">
      <c r="A58" s="1659" t="s">
        <v>585</v>
      </c>
      <c r="B58" s="1664"/>
      <c r="C58" s="994" t="s">
        <v>1252</v>
      </c>
      <c r="D58" s="460"/>
      <c r="E58" s="460"/>
      <c r="F58" s="460"/>
      <c r="G58" s="460"/>
      <c r="H58" s="460"/>
      <c r="I58" s="460"/>
      <c r="J58" s="460"/>
      <c r="K58" s="461"/>
      <c r="L58" s="64"/>
      <c r="M58" s="64"/>
      <c r="N58" s="64"/>
      <c r="O58" s="64"/>
    </row>
    <row r="59" spans="1:15" ht="30.75" customHeight="1" x14ac:dyDescent="0.25">
      <c r="A59" s="1659" t="s">
        <v>586</v>
      </c>
      <c r="B59" s="1664"/>
      <c r="C59" s="994" t="s">
        <v>587</v>
      </c>
      <c r="D59" s="460"/>
      <c r="E59" s="460"/>
      <c r="F59" s="460"/>
      <c r="G59" s="460"/>
      <c r="H59" s="460"/>
      <c r="I59" s="460"/>
      <c r="J59" s="460"/>
      <c r="K59" s="461"/>
      <c r="L59" s="396"/>
      <c r="M59" s="396"/>
      <c r="N59" s="396"/>
      <c r="O59" s="396"/>
    </row>
    <row r="60" spans="1:15" ht="13.9" customHeight="1" x14ac:dyDescent="0.25">
      <c r="A60" s="1665">
        <v>5.2</v>
      </c>
      <c r="B60" s="1666"/>
      <c r="C60" s="1670" t="s">
        <v>588</v>
      </c>
      <c r="D60" s="1671"/>
      <c r="E60" s="1671"/>
      <c r="F60" s="1671"/>
      <c r="G60" s="1671"/>
      <c r="H60" s="1671"/>
      <c r="I60" s="1671"/>
      <c r="J60" s="1671"/>
      <c r="K60" s="1671"/>
      <c r="L60" s="1671"/>
      <c r="M60" s="1671"/>
      <c r="N60" s="1671"/>
      <c r="O60" s="1672"/>
    </row>
    <row r="61" spans="1:15" ht="45" customHeight="1" x14ac:dyDescent="0.25">
      <c r="A61" s="1659" t="s">
        <v>589</v>
      </c>
      <c r="B61" s="1664"/>
      <c r="C61" s="994" t="s">
        <v>590</v>
      </c>
      <c r="D61" s="460"/>
      <c r="E61" s="460"/>
      <c r="F61" s="460"/>
      <c r="G61" s="460"/>
      <c r="H61" s="460"/>
      <c r="I61" s="460"/>
      <c r="J61" s="460"/>
      <c r="K61" s="461"/>
      <c r="L61" s="64"/>
      <c r="M61" s="64"/>
      <c r="N61" s="64"/>
      <c r="O61" s="64"/>
    </row>
    <row r="62" spans="1:15" ht="28.5" customHeight="1" x14ac:dyDescent="0.25">
      <c r="A62" s="1659" t="s">
        <v>591</v>
      </c>
      <c r="B62" s="1664"/>
      <c r="C62" s="994" t="s">
        <v>592</v>
      </c>
      <c r="D62" s="460"/>
      <c r="E62" s="460"/>
      <c r="F62" s="460"/>
      <c r="G62" s="460"/>
      <c r="H62" s="460"/>
      <c r="I62" s="460"/>
      <c r="J62" s="460"/>
      <c r="K62" s="461"/>
      <c r="L62" s="64"/>
      <c r="M62" s="64"/>
      <c r="N62" s="64"/>
      <c r="O62" s="64"/>
    </row>
    <row r="63" spans="1:15" ht="75" customHeight="1" x14ac:dyDescent="0.25">
      <c r="A63" s="1659" t="s">
        <v>593</v>
      </c>
      <c r="B63" s="1664"/>
      <c r="C63" s="994" t="s">
        <v>594</v>
      </c>
      <c r="D63" s="460"/>
      <c r="E63" s="460"/>
      <c r="F63" s="460"/>
      <c r="G63" s="460"/>
      <c r="H63" s="460"/>
      <c r="I63" s="460"/>
      <c r="J63" s="460"/>
      <c r="K63" s="461"/>
      <c r="L63" s="64"/>
      <c r="M63" s="64"/>
      <c r="N63" s="64"/>
      <c r="O63" s="64"/>
    </row>
    <row r="64" spans="1:15" ht="13.9" customHeight="1" x14ac:dyDescent="0.25">
      <c r="A64" s="1659" t="s">
        <v>595</v>
      </c>
      <c r="B64" s="1664"/>
      <c r="C64" s="994" t="s">
        <v>596</v>
      </c>
      <c r="D64" s="460"/>
      <c r="E64" s="460"/>
      <c r="F64" s="460"/>
      <c r="G64" s="460"/>
      <c r="H64" s="460"/>
      <c r="I64" s="460"/>
      <c r="J64" s="460"/>
      <c r="K64" s="461"/>
      <c r="L64" s="64"/>
      <c r="M64" s="64"/>
      <c r="N64" s="64"/>
      <c r="O64" s="64"/>
    </row>
    <row r="65" spans="1:15" ht="30" customHeight="1" x14ac:dyDescent="0.25">
      <c r="A65" s="1659" t="s">
        <v>597</v>
      </c>
      <c r="B65" s="1664"/>
      <c r="C65" s="994" t="s">
        <v>598</v>
      </c>
      <c r="D65" s="460"/>
      <c r="E65" s="460"/>
      <c r="F65" s="460"/>
      <c r="G65" s="460"/>
      <c r="H65" s="460"/>
      <c r="I65" s="460"/>
      <c r="J65" s="460"/>
      <c r="K65" s="461"/>
      <c r="L65" s="64"/>
      <c r="M65" s="64"/>
      <c r="N65" s="64"/>
      <c r="O65" s="64"/>
    </row>
    <row r="66" spans="1:15" ht="30.75" customHeight="1" x14ac:dyDescent="0.25">
      <c r="A66" s="1659" t="s">
        <v>599</v>
      </c>
      <c r="B66" s="1664"/>
      <c r="C66" s="994" t="s">
        <v>600</v>
      </c>
      <c r="D66" s="460"/>
      <c r="E66" s="460"/>
      <c r="F66" s="460"/>
      <c r="G66" s="460"/>
      <c r="H66" s="460"/>
      <c r="I66" s="460"/>
      <c r="J66" s="460"/>
      <c r="K66" s="461"/>
      <c r="L66" s="64"/>
      <c r="M66" s="64"/>
      <c r="N66" s="64"/>
      <c r="O66" s="64"/>
    </row>
    <row r="67" spans="1:15" ht="30.75" customHeight="1" x14ac:dyDescent="0.25">
      <c r="A67" s="1659" t="s">
        <v>601</v>
      </c>
      <c r="B67" s="1664"/>
      <c r="C67" s="994" t="s">
        <v>602</v>
      </c>
      <c r="D67" s="460"/>
      <c r="E67" s="460"/>
      <c r="F67" s="460"/>
      <c r="G67" s="460"/>
      <c r="H67" s="460"/>
      <c r="I67" s="460"/>
      <c r="J67" s="460"/>
      <c r="K67" s="461"/>
      <c r="L67" s="64"/>
      <c r="M67" s="64"/>
      <c r="N67" s="64"/>
      <c r="O67" s="64"/>
    </row>
    <row r="68" spans="1:15" ht="13.9" customHeight="1" x14ac:dyDescent="0.25">
      <c r="A68" s="1665">
        <v>5.3</v>
      </c>
      <c r="B68" s="1666"/>
      <c r="C68" s="1667" t="s">
        <v>603</v>
      </c>
      <c r="D68" s="1668"/>
      <c r="E68" s="1668"/>
      <c r="F68" s="1668"/>
      <c r="G68" s="1668"/>
      <c r="H68" s="1668"/>
      <c r="I68" s="1668"/>
      <c r="J68" s="1668"/>
      <c r="K68" s="1669"/>
      <c r="L68" s="397"/>
      <c r="M68" s="397"/>
      <c r="N68" s="397"/>
      <c r="O68" s="397"/>
    </row>
    <row r="69" spans="1:15" ht="30" customHeight="1" x14ac:dyDescent="0.25">
      <c r="A69" s="1659" t="s">
        <v>604</v>
      </c>
      <c r="B69" s="1664"/>
      <c r="C69" s="994" t="s">
        <v>605</v>
      </c>
      <c r="D69" s="460"/>
      <c r="E69" s="460"/>
      <c r="F69" s="460"/>
      <c r="G69" s="460"/>
      <c r="H69" s="460"/>
      <c r="I69" s="460"/>
      <c r="J69" s="460"/>
      <c r="K69" s="461"/>
      <c r="L69" s="64"/>
      <c r="M69" s="64"/>
      <c r="N69" s="64"/>
      <c r="O69" s="64"/>
    </row>
    <row r="70" spans="1:15" ht="27.6" customHeight="1" x14ac:dyDescent="0.25">
      <c r="A70" s="1659" t="s">
        <v>606</v>
      </c>
      <c r="B70" s="1664"/>
      <c r="C70" s="994" t="s">
        <v>607</v>
      </c>
      <c r="D70" s="460"/>
      <c r="E70" s="460"/>
      <c r="F70" s="460"/>
      <c r="G70" s="460"/>
      <c r="H70" s="460"/>
      <c r="I70" s="460"/>
      <c r="J70" s="460"/>
      <c r="K70" s="461"/>
      <c r="L70" s="64"/>
      <c r="M70" s="64"/>
      <c r="N70" s="64"/>
      <c r="O70" s="64"/>
    </row>
    <row r="71" spans="1:15" ht="27.6" customHeight="1" x14ac:dyDescent="0.25">
      <c r="A71" s="1659" t="s">
        <v>608</v>
      </c>
      <c r="B71" s="1664"/>
      <c r="C71" s="994" t="s">
        <v>609</v>
      </c>
      <c r="D71" s="460"/>
      <c r="E71" s="460"/>
      <c r="F71" s="460"/>
      <c r="G71" s="460"/>
      <c r="H71" s="460"/>
      <c r="I71" s="460"/>
      <c r="J71" s="460"/>
      <c r="K71" s="461"/>
      <c r="L71" s="64"/>
      <c r="M71" s="64"/>
      <c r="N71" s="64"/>
      <c r="O71" s="64"/>
    </row>
    <row r="72" spans="1:15" ht="4.9000000000000004" customHeight="1" x14ac:dyDescent="0.25">
      <c r="A72" s="1659"/>
      <c r="B72" s="1660"/>
      <c r="C72" s="1072"/>
      <c r="D72" s="1072"/>
      <c r="E72" s="1072"/>
      <c r="F72" s="1072"/>
      <c r="G72" s="1072"/>
      <c r="H72" s="1072"/>
      <c r="I72" s="1072"/>
      <c r="J72" s="1072"/>
      <c r="K72" s="1072"/>
      <c r="L72" s="1072"/>
      <c r="M72" s="1072"/>
      <c r="N72" s="1072"/>
      <c r="O72" s="1073"/>
    </row>
    <row r="73" spans="1:15" ht="13.9" customHeight="1" x14ac:dyDescent="0.25">
      <c r="A73" s="1661" t="s">
        <v>610</v>
      </c>
      <c r="B73" s="1662"/>
      <c r="C73" s="1662"/>
      <c r="D73" s="1662"/>
      <c r="E73" s="1662"/>
      <c r="F73" s="1662"/>
      <c r="G73" s="1662"/>
      <c r="H73" s="1662"/>
      <c r="I73" s="1662"/>
      <c r="J73" s="1662"/>
      <c r="K73" s="1662"/>
      <c r="L73" s="1662"/>
      <c r="M73" s="1662"/>
      <c r="N73" s="1662"/>
      <c r="O73" s="1663"/>
    </row>
    <row r="74" spans="1:15" ht="27" customHeight="1" x14ac:dyDescent="0.25">
      <c r="A74" s="1651"/>
      <c r="B74" s="1652"/>
      <c r="C74" s="1446"/>
      <c r="D74" s="1447"/>
      <c r="E74" s="1447"/>
      <c r="F74" s="1447"/>
      <c r="G74" s="1447"/>
      <c r="H74" s="1447"/>
      <c r="I74" s="1447"/>
      <c r="J74" s="1447"/>
      <c r="K74" s="1447"/>
      <c r="L74" s="1447"/>
      <c r="M74" s="1447"/>
      <c r="N74" s="1447"/>
      <c r="O74" s="1653"/>
    </row>
    <row r="75" spans="1:15" ht="27" customHeight="1" x14ac:dyDescent="0.25">
      <c r="A75" s="1651"/>
      <c r="B75" s="1652"/>
      <c r="C75" s="1446"/>
      <c r="D75" s="1447"/>
      <c r="E75" s="1447"/>
      <c r="F75" s="1447"/>
      <c r="G75" s="1447"/>
      <c r="H75" s="1447"/>
      <c r="I75" s="1447"/>
      <c r="J75" s="1447"/>
      <c r="K75" s="1447"/>
      <c r="L75" s="1447"/>
      <c r="M75" s="1447"/>
      <c r="N75" s="1447"/>
      <c r="O75" s="1653"/>
    </row>
    <row r="76" spans="1:15" ht="27" customHeight="1" x14ac:dyDescent="0.25">
      <c r="A76" s="1651"/>
      <c r="B76" s="1652"/>
      <c r="C76" s="1446"/>
      <c r="D76" s="1447"/>
      <c r="E76" s="1447"/>
      <c r="F76" s="1447"/>
      <c r="G76" s="1447"/>
      <c r="H76" s="1447"/>
      <c r="I76" s="1447"/>
      <c r="J76" s="1447"/>
      <c r="K76" s="1447"/>
      <c r="L76" s="1447"/>
      <c r="M76" s="1447"/>
      <c r="N76" s="1447"/>
      <c r="O76" s="1653"/>
    </row>
    <row r="77" spans="1:15" ht="27" customHeight="1" x14ac:dyDescent="0.25">
      <c r="A77" s="1651"/>
      <c r="B77" s="1652"/>
      <c r="C77" s="1446"/>
      <c r="D77" s="1447"/>
      <c r="E77" s="1447"/>
      <c r="F77" s="1447"/>
      <c r="G77" s="1447"/>
      <c r="H77" s="1447"/>
      <c r="I77" s="1447"/>
      <c r="J77" s="1447"/>
      <c r="K77" s="1447"/>
      <c r="L77" s="1447"/>
      <c r="M77" s="1447"/>
      <c r="N77" s="1447"/>
      <c r="O77" s="1653"/>
    </row>
    <row r="78" spans="1:15" ht="27" customHeight="1" x14ac:dyDescent="0.25">
      <c r="A78" s="1651"/>
      <c r="B78" s="1652"/>
      <c r="C78" s="1446"/>
      <c r="D78" s="1447"/>
      <c r="E78" s="1447"/>
      <c r="F78" s="1447"/>
      <c r="G78" s="1447"/>
      <c r="H78" s="1447"/>
      <c r="I78" s="1447"/>
      <c r="J78" s="1447"/>
      <c r="K78" s="1447"/>
      <c r="L78" s="1447"/>
      <c r="M78" s="1447"/>
      <c r="N78" s="1447"/>
      <c r="O78" s="1653"/>
    </row>
    <row r="79" spans="1:15" ht="27" customHeight="1" x14ac:dyDescent="0.25">
      <c r="A79" s="1651"/>
      <c r="B79" s="1652"/>
      <c r="C79" s="1446"/>
      <c r="D79" s="1447"/>
      <c r="E79" s="1447"/>
      <c r="F79" s="1447"/>
      <c r="G79" s="1447"/>
      <c r="H79" s="1447"/>
      <c r="I79" s="1447"/>
      <c r="J79" s="1447"/>
      <c r="K79" s="1447"/>
      <c r="L79" s="1447"/>
      <c r="M79" s="1447"/>
      <c r="N79" s="1447"/>
      <c r="O79" s="1653"/>
    </row>
    <row r="80" spans="1:15" ht="27" customHeight="1" x14ac:dyDescent="0.25">
      <c r="A80" s="1651"/>
      <c r="B80" s="1652"/>
      <c r="C80" s="1446"/>
      <c r="D80" s="1447"/>
      <c r="E80" s="1447"/>
      <c r="F80" s="1447"/>
      <c r="G80" s="1447"/>
      <c r="H80" s="1447"/>
      <c r="I80" s="1447"/>
      <c r="J80" s="1447"/>
      <c r="K80" s="1447"/>
      <c r="L80" s="1447"/>
      <c r="M80" s="1447"/>
      <c r="N80" s="1447"/>
      <c r="O80" s="1653"/>
    </row>
    <row r="81" spans="1:15" ht="27" customHeight="1" x14ac:dyDescent="0.25">
      <c r="A81" s="1651"/>
      <c r="B81" s="1652"/>
      <c r="C81" s="1446"/>
      <c r="D81" s="1447"/>
      <c r="E81" s="1447"/>
      <c r="F81" s="1447"/>
      <c r="G81" s="1447"/>
      <c r="H81" s="1447"/>
      <c r="I81" s="1447"/>
      <c r="J81" s="1447"/>
      <c r="K81" s="1447"/>
      <c r="L81" s="1447"/>
      <c r="M81" s="1447"/>
      <c r="N81" s="1447"/>
      <c r="O81" s="1653"/>
    </row>
    <row r="82" spans="1:15" ht="27" customHeight="1" x14ac:dyDescent="0.25">
      <c r="A82" s="1651"/>
      <c r="B82" s="1652"/>
      <c r="C82" s="1446"/>
      <c r="D82" s="1447"/>
      <c r="E82" s="1447"/>
      <c r="F82" s="1447"/>
      <c r="G82" s="1447"/>
      <c r="H82" s="1447"/>
      <c r="I82" s="1447"/>
      <c r="J82" s="1447"/>
      <c r="K82" s="1447"/>
      <c r="L82" s="1447"/>
      <c r="M82" s="1447"/>
      <c r="N82" s="1447"/>
      <c r="O82" s="1653"/>
    </row>
    <row r="83" spans="1:15" ht="27" customHeight="1" x14ac:dyDescent="0.25">
      <c r="A83" s="1651"/>
      <c r="B83" s="1652"/>
      <c r="C83" s="1446"/>
      <c r="D83" s="1447"/>
      <c r="E83" s="1447"/>
      <c r="F83" s="1447"/>
      <c r="G83" s="1447"/>
      <c r="H83" s="1447"/>
      <c r="I83" s="1447"/>
      <c r="J83" s="1447"/>
      <c r="K83" s="1447"/>
      <c r="L83" s="1447"/>
      <c r="M83" s="1447"/>
      <c r="N83" s="1447"/>
      <c r="O83" s="1653"/>
    </row>
    <row r="84" spans="1:15" ht="27" customHeight="1" x14ac:dyDescent="0.25">
      <c r="A84" s="1651"/>
      <c r="B84" s="1652"/>
      <c r="C84" s="1446"/>
      <c r="D84" s="1447"/>
      <c r="E84" s="1447"/>
      <c r="F84" s="1447"/>
      <c r="G84" s="1447"/>
      <c r="H84" s="1447"/>
      <c r="I84" s="1447"/>
      <c r="J84" s="1447"/>
      <c r="K84" s="1447"/>
      <c r="L84" s="1447"/>
      <c r="M84" s="1447"/>
      <c r="N84" s="1447"/>
      <c r="O84" s="1653"/>
    </row>
    <row r="85" spans="1:15" ht="27" customHeight="1" x14ac:dyDescent="0.25">
      <c r="A85" s="1651"/>
      <c r="B85" s="1652"/>
      <c r="C85" s="1446"/>
      <c r="D85" s="1447"/>
      <c r="E85" s="1447"/>
      <c r="F85" s="1447"/>
      <c r="G85" s="1447"/>
      <c r="H85" s="1447"/>
      <c r="I85" s="1447"/>
      <c r="J85" s="1447"/>
      <c r="K85" s="1447"/>
      <c r="L85" s="1447"/>
      <c r="M85" s="1447"/>
      <c r="N85" s="1447"/>
      <c r="O85" s="1653"/>
    </row>
    <row r="86" spans="1:15" ht="27" customHeight="1" x14ac:dyDescent="0.25">
      <c r="A86" s="1651"/>
      <c r="B86" s="1652"/>
      <c r="C86" s="1446"/>
      <c r="D86" s="1447"/>
      <c r="E86" s="1447"/>
      <c r="F86" s="1447"/>
      <c r="G86" s="1447"/>
      <c r="H86" s="1447"/>
      <c r="I86" s="1447"/>
      <c r="J86" s="1447"/>
      <c r="K86" s="1447"/>
      <c r="L86" s="1447"/>
      <c r="M86" s="1447"/>
      <c r="N86" s="1447"/>
      <c r="O86" s="1653"/>
    </row>
    <row r="87" spans="1:15" ht="4.9000000000000004" customHeight="1" x14ac:dyDescent="0.25">
      <c r="A87" s="1638"/>
      <c r="B87" s="1654"/>
      <c r="C87" s="1472"/>
      <c r="D87" s="1472"/>
      <c r="E87" s="1472"/>
      <c r="F87" s="1472"/>
      <c r="G87" s="1472"/>
      <c r="H87" s="1472"/>
      <c r="I87" s="1472"/>
      <c r="J87" s="1472"/>
      <c r="K87" s="1472"/>
      <c r="L87" s="1472"/>
      <c r="M87" s="1472"/>
      <c r="N87" s="1472"/>
      <c r="O87" s="1655"/>
    </row>
    <row r="88" spans="1:15" ht="13.9" customHeight="1" x14ac:dyDescent="0.25">
      <c r="A88" s="1656" t="s">
        <v>611</v>
      </c>
      <c r="B88" s="1657"/>
      <c r="C88" s="1657"/>
      <c r="D88" s="1657"/>
      <c r="E88" s="1657"/>
      <c r="F88" s="1657"/>
      <c r="G88" s="1657"/>
      <c r="H88" s="1657"/>
      <c r="I88" s="1657"/>
      <c r="J88" s="1657"/>
      <c r="K88" s="1657"/>
      <c r="L88" s="1657"/>
      <c r="M88" s="1657"/>
      <c r="N88" s="1657"/>
      <c r="O88" s="1658"/>
    </row>
    <row r="89" spans="1:15" ht="13.9" customHeight="1" x14ac:dyDescent="0.25">
      <c r="A89" s="1639"/>
      <c r="B89" s="1640"/>
      <c r="C89" s="1640"/>
      <c r="D89" s="1641"/>
      <c r="E89" s="1639"/>
      <c r="F89" s="1640"/>
      <c r="G89" s="1640"/>
      <c r="H89" s="1640"/>
      <c r="I89" s="1641"/>
      <c r="J89" s="1639"/>
      <c r="K89" s="1640"/>
      <c r="L89" s="1640"/>
      <c r="M89" s="1640"/>
      <c r="N89" s="1640"/>
      <c r="O89" s="1641"/>
    </row>
    <row r="90" spans="1:15" ht="13.9" customHeight="1" x14ac:dyDescent="0.25">
      <c r="A90" s="1642"/>
      <c r="B90" s="1643"/>
      <c r="C90" s="1643"/>
      <c r="D90" s="1644"/>
      <c r="E90" s="1642"/>
      <c r="F90" s="1643"/>
      <c r="G90" s="1643"/>
      <c r="H90" s="1643"/>
      <c r="I90" s="1644"/>
      <c r="J90" s="1642"/>
      <c r="K90" s="1643"/>
      <c r="L90" s="1643"/>
      <c r="M90" s="1643"/>
      <c r="N90" s="1643"/>
      <c r="O90" s="1644"/>
    </row>
    <row r="91" spans="1:15" ht="13.9" customHeight="1" x14ac:dyDescent="0.25">
      <c r="A91" s="1645" t="s">
        <v>612</v>
      </c>
      <c r="B91" s="1646"/>
      <c r="C91" s="1646"/>
      <c r="D91" s="1647"/>
      <c r="E91" s="1648" t="s">
        <v>613</v>
      </c>
      <c r="F91" s="1649"/>
      <c r="G91" s="1649"/>
      <c r="H91" s="1649"/>
      <c r="I91" s="1650"/>
      <c r="J91" s="1645" t="s">
        <v>614</v>
      </c>
      <c r="K91" s="1646"/>
      <c r="L91" s="1646"/>
      <c r="M91" s="1646"/>
      <c r="N91" s="1646"/>
      <c r="O91" s="1647"/>
    </row>
    <row r="92" spans="1:15" ht="13.9" customHeight="1" x14ac:dyDescent="0.25">
      <c r="A92" s="1639"/>
      <c r="B92" s="1640"/>
      <c r="C92" s="1640"/>
      <c r="D92" s="1641"/>
      <c r="E92" s="1639"/>
      <c r="F92" s="1640"/>
      <c r="G92" s="1640"/>
      <c r="H92" s="1640"/>
      <c r="I92" s="1641"/>
      <c r="J92" s="1639"/>
      <c r="K92" s="1640"/>
      <c r="L92" s="1640"/>
      <c r="M92" s="1640"/>
      <c r="N92" s="1640"/>
      <c r="O92" s="1641"/>
    </row>
    <row r="93" spans="1:15" ht="13.9" customHeight="1" x14ac:dyDescent="0.25">
      <c r="A93" s="1642"/>
      <c r="B93" s="1643"/>
      <c r="C93" s="1643"/>
      <c r="D93" s="1644"/>
      <c r="E93" s="1642"/>
      <c r="F93" s="1643"/>
      <c r="G93" s="1643"/>
      <c r="H93" s="1643"/>
      <c r="I93" s="1644"/>
      <c r="J93" s="1642"/>
      <c r="K93" s="1643"/>
      <c r="L93" s="1643"/>
      <c r="M93" s="1643"/>
      <c r="N93" s="1643"/>
      <c r="O93" s="1644"/>
    </row>
    <row r="94" spans="1:15" ht="13.9" customHeight="1" x14ac:dyDescent="0.25">
      <c r="A94" s="1645" t="s">
        <v>615</v>
      </c>
      <c r="B94" s="1646"/>
      <c r="C94" s="1646"/>
      <c r="D94" s="1647"/>
      <c r="E94" s="1648" t="s">
        <v>616</v>
      </c>
      <c r="F94" s="1649"/>
      <c r="G94" s="1649"/>
      <c r="H94" s="1649"/>
      <c r="I94" s="1650"/>
      <c r="J94" s="1645" t="s">
        <v>617</v>
      </c>
      <c r="K94" s="1646"/>
      <c r="L94" s="1646"/>
      <c r="M94" s="1646"/>
      <c r="N94" s="1646"/>
      <c r="O94" s="1647"/>
    </row>
    <row r="95" spans="1:15" ht="4.9000000000000004" customHeight="1" x14ac:dyDescent="0.25">
      <c r="A95" s="1631"/>
      <c r="B95" s="1072"/>
      <c r="C95" s="1072"/>
      <c r="D95" s="1072"/>
      <c r="E95" s="1072"/>
      <c r="F95" s="1072"/>
      <c r="G95" s="1072"/>
      <c r="H95" s="1072"/>
      <c r="I95" s="1072"/>
      <c r="J95" s="1072"/>
      <c r="K95" s="1072"/>
      <c r="L95" s="1072"/>
      <c r="M95" s="1072"/>
      <c r="N95" s="1072"/>
      <c r="O95" s="1073"/>
    </row>
    <row r="96" spans="1:15" ht="13.9" customHeight="1" x14ac:dyDescent="0.25">
      <c r="A96" s="1024" t="s">
        <v>618</v>
      </c>
      <c r="B96" s="1024"/>
      <c r="C96" s="1632"/>
      <c r="D96" s="1633"/>
      <c r="E96" s="1634"/>
      <c r="F96" s="1634"/>
      <c r="G96" s="1635"/>
      <c r="H96" s="1636" t="s">
        <v>619</v>
      </c>
      <c r="I96" s="1636"/>
      <c r="J96" s="1637"/>
      <c r="K96" s="1633"/>
      <c r="L96" s="1634"/>
      <c r="M96" s="1634"/>
      <c r="N96" s="1634"/>
      <c r="O96" s="1635"/>
    </row>
    <row r="97" spans="1:15" ht="4.9000000000000004" customHeight="1" x14ac:dyDescent="0.25">
      <c r="A97" s="1638"/>
      <c r="B97" s="450"/>
      <c r="C97" s="450"/>
      <c r="D97" s="450"/>
      <c r="E97" s="450"/>
      <c r="F97" s="450"/>
      <c r="G97" s="450"/>
      <c r="H97" s="450"/>
      <c r="I97" s="450"/>
      <c r="J97" s="450"/>
      <c r="K97" s="450"/>
      <c r="L97" s="450"/>
      <c r="M97" s="450"/>
      <c r="N97" s="450"/>
      <c r="O97" s="452"/>
    </row>
    <row r="98" spans="1:15" ht="13.9" customHeight="1" x14ac:dyDescent="0.25">
      <c r="A98" s="1628" t="s">
        <v>620</v>
      </c>
      <c r="B98" s="1629"/>
      <c r="C98" s="1629"/>
      <c r="D98" s="1629"/>
      <c r="E98" s="1629"/>
      <c r="F98" s="1629"/>
      <c r="G98" s="1629"/>
      <c r="H98" s="1629"/>
      <c r="I98" s="1629"/>
      <c r="J98" s="1629"/>
      <c r="K98" s="1629"/>
      <c r="L98" s="1629"/>
      <c r="M98" s="1629"/>
      <c r="N98" s="1629"/>
      <c r="O98" s="1630"/>
    </row>
    <row r="135" spans="1:1" x14ac:dyDescent="0.25">
      <c r="A135" s="398" t="s">
        <v>515</v>
      </c>
    </row>
    <row r="137" spans="1:1" x14ac:dyDescent="0.25">
      <c r="A137" t="s">
        <v>782</v>
      </c>
    </row>
    <row r="138" spans="1:1" x14ac:dyDescent="0.25">
      <c r="A138" t="s">
        <v>517</v>
      </c>
    </row>
    <row r="141" spans="1:1" x14ac:dyDescent="0.25">
      <c r="A141" s="398" t="s">
        <v>515</v>
      </c>
    </row>
    <row r="143" spans="1:1" x14ac:dyDescent="0.25">
      <c r="A143" t="s">
        <v>53</v>
      </c>
    </row>
    <row r="144" spans="1:1" x14ac:dyDescent="0.25">
      <c r="A144" t="s">
        <v>783</v>
      </c>
    </row>
    <row r="145" spans="1:1" x14ac:dyDescent="0.25">
      <c r="A145" t="s">
        <v>517</v>
      </c>
    </row>
    <row r="148" spans="1:1" x14ac:dyDescent="0.25">
      <c r="A148" s="398" t="s">
        <v>515</v>
      </c>
    </row>
    <row r="150" spans="1:1" x14ac:dyDescent="0.25">
      <c r="A150" t="s">
        <v>516</v>
      </c>
    </row>
    <row r="151" spans="1:1" x14ac:dyDescent="0.25">
      <c r="A151" t="s">
        <v>517</v>
      </c>
    </row>
    <row r="154" spans="1:1" x14ac:dyDescent="0.25">
      <c r="A154" s="398" t="s">
        <v>515</v>
      </c>
    </row>
    <row r="156" spans="1:1" x14ac:dyDescent="0.25">
      <c r="A156" t="s">
        <v>18</v>
      </c>
    </row>
  </sheetData>
  <sheetProtection algorithmName="SHA-512" hashValue="1FN3009mNiEbY2CbEXU7BDYvIOR+4HdoykLYhqe56W9hwZzDcM3xDIGMb5YG6Vebq3/X40wQ0/YL0t9u8vU9fA==" saltValue="htiYCtE/pEBw7zvdVmzWXg==" spinCount="100000" sheet="1" objects="1" scenarios="1" formatRows="0" selectLockedCells="1"/>
  <mergeCells count="178">
    <mergeCell ref="A1:C5"/>
    <mergeCell ref="D1:K1"/>
    <mergeCell ref="L1:O6"/>
    <mergeCell ref="D2:K2"/>
    <mergeCell ref="D3:K3"/>
    <mergeCell ref="D4:K4"/>
    <mergeCell ref="D5:I5"/>
    <mergeCell ref="J5:K5"/>
    <mergeCell ref="C6:K6"/>
    <mergeCell ref="A10:O10"/>
    <mergeCell ref="A11:B11"/>
    <mergeCell ref="C11:K11"/>
    <mergeCell ref="A12:O12"/>
    <mergeCell ref="A13:O13"/>
    <mergeCell ref="A7:B8"/>
    <mergeCell ref="C7:K8"/>
    <mergeCell ref="L7:M7"/>
    <mergeCell ref="N7:N8"/>
    <mergeCell ref="O7:O8"/>
    <mergeCell ref="A9:O9"/>
    <mergeCell ref="A19:B19"/>
    <mergeCell ref="C19:K19"/>
    <mergeCell ref="A20:B20"/>
    <mergeCell ref="C20:K20"/>
    <mergeCell ref="A21:B21"/>
    <mergeCell ref="C21:K21"/>
    <mergeCell ref="A14:B14"/>
    <mergeCell ref="C14:K14"/>
    <mergeCell ref="A15:O15"/>
    <mergeCell ref="A16:O16"/>
    <mergeCell ref="A17:O17"/>
    <mergeCell ref="A18:B18"/>
    <mergeCell ref="C18:O18"/>
    <mergeCell ref="A25:B25"/>
    <mergeCell ref="C25:K25"/>
    <mergeCell ref="A26:B26"/>
    <mergeCell ref="C26:K26"/>
    <mergeCell ref="A27:B27"/>
    <mergeCell ref="C27:K27"/>
    <mergeCell ref="A22:B22"/>
    <mergeCell ref="C22:K22"/>
    <mergeCell ref="A23:B23"/>
    <mergeCell ref="C23:K23"/>
    <mergeCell ref="A24:B24"/>
    <mergeCell ref="C24:K24"/>
    <mergeCell ref="A31:B31"/>
    <mergeCell ref="C31:K31"/>
    <mergeCell ref="A32:B32"/>
    <mergeCell ref="C32:O32"/>
    <mergeCell ref="A33:B33"/>
    <mergeCell ref="C33:K33"/>
    <mergeCell ref="A28:B28"/>
    <mergeCell ref="C28:O28"/>
    <mergeCell ref="A29:B29"/>
    <mergeCell ref="C29:K29"/>
    <mergeCell ref="A30:B30"/>
    <mergeCell ref="C30:K30"/>
    <mergeCell ref="A38:B38"/>
    <mergeCell ref="C38:K38"/>
    <mergeCell ref="A39:B39"/>
    <mergeCell ref="C39:K39"/>
    <mergeCell ref="A40:B40"/>
    <mergeCell ref="C40:O40"/>
    <mergeCell ref="A34:B34"/>
    <mergeCell ref="C34:K34"/>
    <mergeCell ref="A35:O35"/>
    <mergeCell ref="A36:O36"/>
    <mergeCell ref="A37:B37"/>
    <mergeCell ref="C37:K37"/>
    <mergeCell ref="A44:B44"/>
    <mergeCell ref="C44:K44"/>
    <mergeCell ref="A45:B45"/>
    <mergeCell ref="C45:K45"/>
    <mergeCell ref="A46:B46"/>
    <mergeCell ref="C46:K46"/>
    <mergeCell ref="A41:B41"/>
    <mergeCell ref="C41:K41"/>
    <mergeCell ref="A42:B42"/>
    <mergeCell ref="C42:K42"/>
    <mergeCell ref="A43:B43"/>
    <mergeCell ref="C43:K43"/>
    <mergeCell ref="A50:B50"/>
    <mergeCell ref="C50:K50"/>
    <mergeCell ref="A51:O51"/>
    <mergeCell ref="A52:O52"/>
    <mergeCell ref="A53:B53"/>
    <mergeCell ref="C53:O53"/>
    <mergeCell ref="A47:B47"/>
    <mergeCell ref="C47:K47"/>
    <mergeCell ref="A48:B48"/>
    <mergeCell ref="C48:K48"/>
    <mergeCell ref="A49:B49"/>
    <mergeCell ref="C49:K49"/>
    <mergeCell ref="A57:B57"/>
    <mergeCell ref="C57:K57"/>
    <mergeCell ref="A58:B58"/>
    <mergeCell ref="C58:K58"/>
    <mergeCell ref="A59:B59"/>
    <mergeCell ref="C59:K59"/>
    <mergeCell ref="A54:B54"/>
    <mergeCell ref="C54:K54"/>
    <mergeCell ref="A55:B55"/>
    <mergeCell ref="C55:K55"/>
    <mergeCell ref="A56:B56"/>
    <mergeCell ref="C56:K56"/>
    <mergeCell ref="A63:B63"/>
    <mergeCell ref="C63:K63"/>
    <mergeCell ref="A64:B64"/>
    <mergeCell ref="C64:K64"/>
    <mergeCell ref="A65:B65"/>
    <mergeCell ref="C65:K65"/>
    <mergeCell ref="A60:B60"/>
    <mergeCell ref="C60:O60"/>
    <mergeCell ref="A61:B61"/>
    <mergeCell ref="C61:K61"/>
    <mergeCell ref="A62:B62"/>
    <mergeCell ref="C62:K62"/>
    <mergeCell ref="A69:B69"/>
    <mergeCell ref="C69:K69"/>
    <mergeCell ref="A70:B70"/>
    <mergeCell ref="C70:K70"/>
    <mergeCell ref="A71:B71"/>
    <mergeCell ref="C71:K71"/>
    <mergeCell ref="A66:B66"/>
    <mergeCell ref="C66:K66"/>
    <mergeCell ref="A67:B67"/>
    <mergeCell ref="C67:K67"/>
    <mergeCell ref="A68:B68"/>
    <mergeCell ref="C68:K68"/>
    <mergeCell ref="A76:B76"/>
    <mergeCell ref="C76:O76"/>
    <mergeCell ref="A77:B77"/>
    <mergeCell ref="C77:O77"/>
    <mergeCell ref="A78:B78"/>
    <mergeCell ref="C78:O78"/>
    <mergeCell ref="A72:O72"/>
    <mergeCell ref="A73:O73"/>
    <mergeCell ref="A74:B74"/>
    <mergeCell ref="C74:O74"/>
    <mergeCell ref="A75:B75"/>
    <mergeCell ref="C75:O75"/>
    <mergeCell ref="A82:B82"/>
    <mergeCell ref="C82:O82"/>
    <mergeCell ref="A83:B83"/>
    <mergeCell ref="C83:O83"/>
    <mergeCell ref="A84:B84"/>
    <mergeCell ref="C84:O84"/>
    <mergeCell ref="A79:B79"/>
    <mergeCell ref="C79:O79"/>
    <mergeCell ref="A80:B80"/>
    <mergeCell ref="C80:O80"/>
    <mergeCell ref="A81:B81"/>
    <mergeCell ref="C81:O81"/>
    <mergeCell ref="A89:D90"/>
    <mergeCell ref="E89:I90"/>
    <mergeCell ref="J89:O90"/>
    <mergeCell ref="A91:D91"/>
    <mergeCell ref="E91:I91"/>
    <mergeCell ref="J91:O91"/>
    <mergeCell ref="A85:B85"/>
    <mergeCell ref="C85:O85"/>
    <mergeCell ref="A86:B86"/>
    <mergeCell ref="C86:O86"/>
    <mergeCell ref="A87:O87"/>
    <mergeCell ref="A88:O88"/>
    <mergeCell ref="A98:O98"/>
    <mergeCell ref="A95:O95"/>
    <mergeCell ref="A96:C96"/>
    <mergeCell ref="D96:G96"/>
    <mergeCell ref="H96:J96"/>
    <mergeCell ref="K96:O96"/>
    <mergeCell ref="A97:O97"/>
    <mergeCell ref="A92:D93"/>
    <mergeCell ref="E92:I93"/>
    <mergeCell ref="J92:O93"/>
    <mergeCell ref="A94:D94"/>
    <mergeCell ref="E94:I94"/>
    <mergeCell ref="J94:O94"/>
  </mergeCells>
  <dataValidations count="8">
    <dataValidation type="list" allowBlank="1" showInputMessage="1" showErrorMessage="1" error="Must make selection from dropdown list" prompt="Make selection from dropdown list" sqref="L69:L71 L61:L67 L54:L59 L29:L31 L33:L34 L37:L39 L41:L44 L46:L50" xr:uid="{00000000-0002-0000-0800-000000000000}">
      <formula1>$A$136:$A$138</formula1>
    </dataValidation>
    <dataValidation type="list" allowBlank="1" showInputMessage="1" showErrorMessage="1" error="Must make selection from dropdown list" prompt="Make selection from dropdown list" sqref="M69:M71 M61:M67 M54:M59 M29:M31 M33:M34 M37:M39 M41:M44 M46:M50" xr:uid="{00000000-0002-0000-0800-000001000000}">
      <formula1>$A$142:$A$145</formula1>
    </dataValidation>
    <dataValidation type="list" allowBlank="1" showInputMessage="1" showErrorMessage="1" error="Must make selection from dropdown list" prompt="Make selection from dropdown list" sqref="N69:N71 N61:N67 N54:N59 N29:N31 N33:N34 N37:N39 N41:N44 N46:N50" xr:uid="{00000000-0002-0000-0800-000002000000}">
      <formula1>$A$149:$A$151</formula1>
    </dataValidation>
    <dataValidation type="list" allowBlank="1" showInputMessage="1" showErrorMessage="1" error="Make selection from dropdown list" prompt="Select from dropdown list" sqref="O69:O71 O61:O67 O54:O59 O29:O31 O33:O34 O37:O39 O41:O44 O46:O50" xr:uid="{00000000-0002-0000-0800-000003000000}">
      <formula1>$A$155:$A$156</formula1>
    </dataValidation>
    <dataValidation type="list" showInputMessage="1" showErrorMessage="1" error="Must make selection from dropdown list" prompt="Make selection from dropdown list" sqref="L11 L14 L19 L20 L21 L22 L23 L24 L25 L26 L27" xr:uid="{00000000-0002-0000-0800-000004000000}">
      <formula1>$A$136:$A$138</formula1>
    </dataValidation>
    <dataValidation type="list" showInputMessage="1" showErrorMessage="1" error="Must make selection from dropdown list" prompt="Make selection from dropdown list" sqref="M11 M14 M19 M20 M21 M22 M23 M24 M25 M26 M27" xr:uid="{00000000-0002-0000-0800-000005000000}">
      <formula1>$A$142:$A$145</formula1>
    </dataValidation>
    <dataValidation type="list" showInputMessage="1" showErrorMessage="1" error="Must make selection from dropdown list" prompt="Make selection from dropdown list" sqref="N11 N14 N19 N20 N21 N22 N23 N24 N25 N26 N27" xr:uid="{00000000-0002-0000-0800-000006000000}">
      <formula1>$A$149:$A$151</formula1>
    </dataValidation>
    <dataValidation type="list" showInputMessage="1" showErrorMessage="1" error="Make selection from dropdown list" prompt="Select from dropdown list" sqref="O11 O14 O19 O20 O21 O22 O23 O24 O25 O26 O27" xr:uid="{00000000-0002-0000-0800-000007000000}">
      <formula1>$A$155:$A$156</formula1>
    </dataValidation>
  </dataValidations>
  <pageMargins left="0.5" right="0.5" top="0.75" bottom="0.75" header="0.3" footer="0.3"/>
  <pageSetup scale="46" fitToHeight="2" orientation="portrait" r:id="rId1"/>
  <headerFooter>
    <oddHeader>&amp;L&amp;F&amp;R&amp;A</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112</vt:i4>
      </vt:variant>
    </vt:vector>
  </HeadingPairs>
  <TitlesOfParts>
    <vt:vector size="127" baseType="lpstr">
      <vt:lpstr>1 BGNM Certification Overview</vt:lpstr>
      <vt:lpstr>2 Required Documentation</vt:lpstr>
      <vt:lpstr>3 Project Information</vt:lpstr>
      <vt:lpstr>4 Scoring &amp; Verification</vt:lpstr>
      <vt:lpstr>Duct Leakage Tests Points Logic</vt:lpstr>
      <vt:lpstr>5 HVAC Design &amp; Commissioning R</vt:lpstr>
      <vt:lpstr>6 Indoor Water Testing</vt:lpstr>
      <vt:lpstr>7 WEiR Index</vt:lpstr>
      <vt:lpstr>8 Thermal Enclosure Checklist</vt:lpstr>
      <vt:lpstr>9 NM Climate Zones</vt:lpstr>
      <vt:lpstr>10 IECC Insulation Requirements</vt:lpstr>
      <vt:lpstr>Errata</vt:lpstr>
      <vt:lpstr>Lists (HIDE)</vt:lpstr>
      <vt:lpstr>Indoor_Values_(HIDE)</vt:lpstr>
      <vt:lpstr>OLD 5 HVAC Accountability Form</vt:lpstr>
      <vt:lpstr>ACCA_D1</vt:lpstr>
      <vt:lpstr>ACCA_D2</vt:lpstr>
      <vt:lpstr>BaselineWasherWF</vt:lpstr>
      <vt:lpstr>Bedrooms</vt:lpstr>
      <vt:lpstr>'4 Scoring &amp; Verification'!Benchmark</vt:lpstr>
      <vt:lpstr>BGNMRequiredWasherWF</vt:lpstr>
      <vt:lpstr>CFA</vt:lpstr>
      <vt:lpstr>ClimateZones</vt:lpstr>
      <vt:lpstr>Counties</vt:lpstr>
      <vt:lpstr>Counties2</vt:lpstr>
      <vt:lpstr>County</vt:lpstr>
      <vt:lpstr>CZ</vt:lpstr>
      <vt:lpstr>'4 Scoring &amp; Verification'!CZ3_Emerald</vt:lpstr>
      <vt:lpstr>'4 Scoring &amp; Verification'!CZ3_Gold</vt:lpstr>
      <vt:lpstr>'4 Scoring &amp; Verification'!CZ4_Emerald</vt:lpstr>
      <vt:lpstr>'4 Scoring &amp; Verification'!CZ4_Gold</vt:lpstr>
      <vt:lpstr>'4 Scoring &amp; Verification'!CZ5_Emerald</vt:lpstr>
      <vt:lpstr>'4 Scoring &amp; Verification'!CZ5_Gold</vt:lpstr>
      <vt:lpstr>'4 Scoring &amp; Verification'!CZ6_Emerald</vt:lpstr>
      <vt:lpstr>'4 Scoring &amp; Verification'!CZ6_Gold</vt:lpstr>
      <vt:lpstr>'4 Scoring &amp; Verification'!CZ7_Emerald</vt:lpstr>
      <vt:lpstr>'4 Scoring &amp; Verification'!CZ7_Gold</vt:lpstr>
      <vt:lpstr>DuctTestCond</vt:lpstr>
      <vt:lpstr>EquipType</vt:lpstr>
      <vt:lpstr>'4 Scoring &amp; Verification'!HERS_Claimed_AsBuilt</vt:lpstr>
      <vt:lpstr>'4 Scoring &amp; Verification'!HERSIndex</vt:lpstr>
      <vt:lpstr>HourlySeasonal</vt:lpstr>
      <vt:lpstr>HVACDucts</vt:lpstr>
      <vt:lpstr>MailCertTo</vt:lpstr>
      <vt:lpstr>MERVRating</vt:lpstr>
      <vt:lpstr>NatDraftEquipLoc</vt:lpstr>
      <vt:lpstr>NatDraftEquipLoc2</vt:lpstr>
      <vt:lpstr>PA_Daily_Use</vt:lpstr>
      <vt:lpstr>PermitDate</vt:lpstr>
      <vt:lpstr>PointList1</vt:lpstr>
      <vt:lpstr>PointList10</vt:lpstr>
      <vt:lpstr>PointList11</vt:lpstr>
      <vt:lpstr>PointList12</vt:lpstr>
      <vt:lpstr>PointList13</vt:lpstr>
      <vt:lpstr>PointList14</vt:lpstr>
      <vt:lpstr>PointList15</vt:lpstr>
      <vt:lpstr>PointList16</vt:lpstr>
      <vt:lpstr>PointList17</vt:lpstr>
      <vt:lpstr>PointList18</vt:lpstr>
      <vt:lpstr>PointList19</vt:lpstr>
      <vt:lpstr>PointList2</vt:lpstr>
      <vt:lpstr>PointList20</vt:lpstr>
      <vt:lpstr>PointList21</vt:lpstr>
      <vt:lpstr>PointList22</vt:lpstr>
      <vt:lpstr>PointList23</vt:lpstr>
      <vt:lpstr>PointList24</vt:lpstr>
      <vt:lpstr>PointList25</vt:lpstr>
      <vt:lpstr>PointList26</vt:lpstr>
      <vt:lpstr>PointList27</vt:lpstr>
      <vt:lpstr>PointList28</vt:lpstr>
      <vt:lpstr>PointList29</vt:lpstr>
      <vt:lpstr>PointList3</vt:lpstr>
      <vt:lpstr>PointList30</vt:lpstr>
      <vt:lpstr>PointList31</vt:lpstr>
      <vt:lpstr>PointList32</vt:lpstr>
      <vt:lpstr>PointList33</vt:lpstr>
      <vt:lpstr>PointList34</vt:lpstr>
      <vt:lpstr>PointList35</vt:lpstr>
      <vt:lpstr>PointList36</vt:lpstr>
      <vt:lpstr>PointList37</vt:lpstr>
      <vt:lpstr>PointList38</vt:lpstr>
      <vt:lpstr>PointList39</vt:lpstr>
      <vt:lpstr>PointList4</vt:lpstr>
      <vt:lpstr>PointList40</vt:lpstr>
      <vt:lpstr>PointList41</vt:lpstr>
      <vt:lpstr>PointList42</vt:lpstr>
      <vt:lpstr>PointList43</vt:lpstr>
      <vt:lpstr>PointList44</vt:lpstr>
      <vt:lpstr>PointList45</vt:lpstr>
      <vt:lpstr>PointList46</vt:lpstr>
      <vt:lpstr>PointList47</vt:lpstr>
      <vt:lpstr>PointList48</vt:lpstr>
      <vt:lpstr>PointList49</vt:lpstr>
      <vt:lpstr>PointList5</vt:lpstr>
      <vt:lpstr>PointList50</vt:lpstr>
      <vt:lpstr>PointList51</vt:lpstr>
      <vt:lpstr>PointList52</vt:lpstr>
      <vt:lpstr>PointList53</vt:lpstr>
      <vt:lpstr>PointList54</vt:lpstr>
      <vt:lpstr>PointList55</vt:lpstr>
      <vt:lpstr>PointList56</vt:lpstr>
      <vt:lpstr>PointList57</vt:lpstr>
      <vt:lpstr>PointList6</vt:lpstr>
      <vt:lpstr>PointList7</vt:lpstr>
      <vt:lpstr>PointList8</vt:lpstr>
      <vt:lpstr>PointList9</vt:lpstr>
      <vt:lpstr>'1 BGNM Certification Overview'!Print_Area</vt:lpstr>
      <vt:lpstr>'2 Required Documentation'!Print_Area</vt:lpstr>
      <vt:lpstr>'3 Project Information'!Print_Area</vt:lpstr>
      <vt:lpstr>'4 Scoring &amp; Verification'!Print_Area</vt:lpstr>
      <vt:lpstr>'5 HVAC Design &amp; Commissioning R'!Print_Area</vt:lpstr>
      <vt:lpstr>'Duct Leakage Tests Points Logic'!Print_Area</vt:lpstr>
      <vt:lpstr>'Lists (HIDE)'!Print_Area</vt:lpstr>
      <vt:lpstr>'OLD 5 HVAC Accountability Form'!Print_Area</vt:lpstr>
      <vt:lpstr>'2 Required Documentation'!Print_Titles</vt:lpstr>
      <vt:lpstr>'3 Project Information'!Print_Titles</vt:lpstr>
      <vt:lpstr>'OLD 5 HVAC Accountability Form'!Print_Titles</vt:lpstr>
      <vt:lpstr>RaisedHeelDepth</vt:lpstr>
      <vt:lpstr>SBTCBroadband</vt:lpstr>
      <vt:lpstr>SBTCEV</vt:lpstr>
      <vt:lpstr>SBTCFullyElectric</vt:lpstr>
      <vt:lpstr>SupDocsList</vt:lpstr>
      <vt:lpstr>VersionNo.</vt:lpstr>
      <vt:lpstr>WEiR</vt:lpstr>
      <vt:lpstr>YesNoOrNA</vt:lpstr>
      <vt:lpstr>YesOrNo</vt:lpstr>
      <vt:lpstr>YesOrNoOrNA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BGNM Certification Scoring Tool</dc:title>
  <dc:creator>Steve Vollstedt</dc:creator>
  <cp:lastModifiedBy>Steve Hale</cp:lastModifiedBy>
  <cp:lastPrinted>2024-08-12T22:58:24Z</cp:lastPrinted>
  <dcterms:created xsi:type="dcterms:W3CDTF">2020-12-15T16:38:43Z</dcterms:created>
  <dcterms:modified xsi:type="dcterms:W3CDTF">2024-11-21T17:21:12Z</dcterms:modified>
</cp:coreProperties>
</file>